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8" yWindow="0" windowWidth="19116" windowHeight="13176"/>
  </bookViews>
  <sheets>
    <sheet name="Sheet1" sheetId="1" r:id="rId1"/>
    <sheet name="Sheet2" sheetId="2" r:id="rId2"/>
  </sheets>
  <definedNames>
    <definedName name="amt_exemption">Sheet1!$G$19</definedName>
    <definedName name="amt_exemption_phase_out_rate">Sheet1!$G$25</definedName>
    <definedName name="amt_phase_out_begins">Sheet1!$G$22</definedName>
    <definedName name="amt_tax_rate_26">Sheet1!$G$14</definedName>
    <definedName name="amt_tax_rate_28">Sheet1!$G$15</definedName>
    <definedName name="charitable_donations">Sheet1!$B$32</definedName>
    <definedName name="child_tax_credit">Sheet1!$D$17</definedName>
    <definedName name="child_tax_credit_phase_out">Sheet1!$D$16</definedName>
    <definedName name="ctc_phase_out_begins">Sheet1!$D$24</definedName>
    <definedName name="ctc_phase_out_rate">Sheet1!$D$25</definedName>
    <definedName name="dividends">Sheet1!$B$20</definedName>
    <definedName name="EITC_dies_with_investment_income">Sheet1!$D$20</definedName>
    <definedName name="interest">Sheet1!$B$19</definedName>
    <definedName name="long_term_capital_gains">Sheet1!$B$22</definedName>
    <definedName name="medical_expenses">Sheet1!$B$33</definedName>
    <definedName name="mortgage_interest">Sheet1!$B$29</definedName>
    <definedName name="num_kids_16_younger">Sheet1!$B$15</definedName>
    <definedName name="num_kids_at_home">Sheet1!$B$14</definedName>
    <definedName name="num_people_in_family">Sheet1!$B$16</definedName>
    <definedName name="obamacare_surcharge_amount">Sheet1!$D$31</definedName>
    <definedName name="obamacare_surcharge_percent">Sheet1!$D$28</definedName>
    <definedName name="personal_exemption">Sheet1!$D$18</definedName>
    <definedName name="point_at_which_28_perc_amt_begins">Sheet1!$G$23</definedName>
    <definedName name="real_estate_property_taxes">Sheet1!$B$30</definedName>
    <definedName name="short_term_capital_gains">Sheet1!$B$21</definedName>
    <definedName name="solver_adj" localSheetId="0" hidden="1">Sheet1!$G$23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Sheet1!$AE$287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tandard_deduction">Sheet1!$D$15</definedName>
    <definedName name="state_income_tax_paid">Sheet1!$B$31</definedName>
    <definedName name="stcg_div_interest">Sheet1!$B$19</definedName>
    <definedName name="student_loan_interest">Sheet1!$B$28</definedName>
    <definedName name="student_loan_interest_cap">Sheet1!$D$19</definedName>
    <definedName name="trad_ira_contributions">Sheet1!$B$25</definedName>
  </definedNames>
  <calcPr calcId="145621"/>
</workbook>
</file>

<file path=xl/calcChain.xml><?xml version="1.0" encoding="utf-8"?>
<calcChain xmlns="http://schemas.openxmlformats.org/spreadsheetml/2006/main">
  <c r="B15" i="1" l="1"/>
  <c r="K24" i="1" l="1"/>
  <c r="J25" i="1" s="1"/>
  <c r="L24" i="1"/>
  <c r="K25" i="1"/>
  <c r="J26" i="1" s="1"/>
  <c r="L25" i="1"/>
  <c r="K26" i="1"/>
  <c r="J27" i="1" s="1"/>
  <c r="L26" i="1"/>
  <c r="K27" i="1"/>
  <c r="J28" i="1" s="1"/>
  <c r="L27" i="1"/>
  <c r="K28" i="1"/>
  <c r="J29" i="1" s="1"/>
  <c r="L28" i="1"/>
  <c r="K29" i="1"/>
  <c r="J30" i="1" s="1"/>
  <c r="L29" i="1"/>
  <c r="L30" i="1"/>
  <c r="T38" i="1"/>
  <c r="F38" i="1"/>
  <c r="D38" i="1" l="1"/>
  <c r="O38" i="1" l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89" i="1"/>
  <c r="K193" i="1"/>
  <c r="K197" i="1"/>
  <c r="K201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57" i="1"/>
  <c r="K261" i="1"/>
  <c r="K265" i="1"/>
  <c r="K269" i="1"/>
  <c r="K273" i="1"/>
  <c r="K277" i="1"/>
  <c r="K281" i="1"/>
  <c r="K285" i="1"/>
  <c r="K289" i="1"/>
  <c r="K293" i="1"/>
  <c r="K297" i="1"/>
  <c r="K301" i="1"/>
  <c r="K305" i="1"/>
  <c r="K309" i="1"/>
  <c r="K313" i="1"/>
  <c r="K317" i="1"/>
  <c r="K321" i="1"/>
  <c r="K325" i="1"/>
  <c r="K329" i="1"/>
  <c r="K333" i="1"/>
  <c r="K337" i="1"/>
  <c r="K341" i="1"/>
  <c r="K345" i="1"/>
  <c r="K349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262" i="1"/>
  <c r="K266" i="1"/>
  <c r="K270" i="1"/>
  <c r="K274" i="1"/>
  <c r="K278" i="1"/>
  <c r="K282" i="1"/>
  <c r="K286" i="1"/>
  <c r="K290" i="1"/>
  <c r="K294" i="1"/>
  <c r="K298" i="1"/>
  <c r="K302" i="1"/>
  <c r="K306" i="1"/>
  <c r="K310" i="1"/>
  <c r="K314" i="1"/>
  <c r="K318" i="1"/>
  <c r="K322" i="1"/>
  <c r="K326" i="1"/>
  <c r="K330" i="1"/>
  <c r="K334" i="1"/>
  <c r="K338" i="1"/>
  <c r="K342" i="1"/>
  <c r="K346" i="1"/>
  <c r="K350" i="1"/>
  <c r="K354" i="1"/>
  <c r="K358" i="1"/>
  <c r="K362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243" i="1"/>
  <c r="K247" i="1"/>
  <c r="K251" i="1"/>
  <c r="K255" i="1"/>
  <c r="K259" i="1"/>
  <c r="K263" i="1"/>
  <c r="K267" i="1"/>
  <c r="K271" i="1"/>
  <c r="K275" i="1"/>
  <c r="K279" i="1"/>
  <c r="K283" i="1"/>
  <c r="K287" i="1"/>
  <c r="K291" i="1"/>
  <c r="K295" i="1"/>
  <c r="K299" i="1"/>
  <c r="K303" i="1"/>
  <c r="K307" i="1"/>
  <c r="K311" i="1"/>
  <c r="K315" i="1"/>
  <c r="K319" i="1"/>
  <c r="K323" i="1"/>
  <c r="K327" i="1"/>
  <c r="K331" i="1"/>
  <c r="K335" i="1"/>
  <c r="K339" i="1"/>
  <c r="K343" i="1"/>
  <c r="K347" i="1"/>
  <c r="K40" i="1"/>
  <c r="K44" i="1"/>
  <c r="K48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36" i="1"/>
  <c r="K140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K200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K252" i="1"/>
  <c r="K256" i="1"/>
  <c r="K260" i="1"/>
  <c r="K264" i="1"/>
  <c r="K268" i="1"/>
  <c r="K272" i="1"/>
  <c r="K276" i="1"/>
  <c r="K280" i="1"/>
  <c r="K284" i="1"/>
  <c r="K288" i="1"/>
  <c r="K292" i="1"/>
  <c r="K296" i="1"/>
  <c r="K300" i="1"/>
  <c r="K304" i="1"/>
  <c r="K308" i="1"/>
  <c r="K312" i="1"/>
  <c r="K316" i="1"/>
  <c r="K320" i="1"/>
  <c r="K324" i="1"/>
  <c r="K328" i="1"/>
  <c r="K332" i="1"/>
  <c r="K336" i="1"/>
  <c r="K340" i="1"/>
  <c r="K344" i="1"/>
  <c r="K348" i="1"/>
  <c r="K352" i="1"/>
  <c r="K356" i="1"/>
  <c r="K360" i="1"/>
  <c r="K364" i="1"/>
  <c r="K351" i="1"/>
  <c r="K359" i="1"/>
  <c r="K366" i="1"/>
  <c r="K370" i="1"/>
  <c r="K374" i="1"/>
  <c r="K378" i="1"/>
  <c r="K382" i="1"/>
  <c r="K386" i="1"/>
  <c r="K390" i="1"/>
  <c r="K394" i="1"/>
  <c r="K398" i="1"/>
  <c r="K402" i="1"/>
  <c r="K406" i="1"/>
  <c r="K410" i="1"/>
  <c r="K414" i="1"/>
  <c r="K418" i="1"/>
  <c r="K422" i="1"/>
  <c r="K426" i="1"/>
  <c r="K430" i="1"/>
  <c r="K434" i="1"/>
  <c r="K438" i="1"/>
  <c r="K442" i="1"/>
  <c r="K446" i="1"/>
  <c r="K450" i="1"/>
  <c r="K454" i="1"/>
  <c r="K458" i="1"/>
  <c r="K462" i="1"/>
  <c r="K466" i="1"/>
  <c r="K470" i="1"/>
  <c r="K474" i="1"/>
  <c r="K478" i="1"/>
  <c r="K482" i="1"/>
  <c r="K486" i="1"/>
  <c r="K490" i="1"/>
  <c r="K494" i="1"/>
  <c r="K498" i="1"/>
  <c r="K502" i="1"/>
  <c r="K506" i="1"/>
  <c r="K510" i="1"/>
  <c r="K514" i="1"/>
  <c r="K518" i="1"/>
  <c r="K522" i="1"/>
  <c r="K526" i="1"/>
  <c r="K530" i="1"/>
  <c r="K534" i="1"/>
  <c r="K538" i="1"/>
  <c r="K542" i="1"/>
  <c r="K546" i="1"/>
  <c r="K550" i="1"/>
  <c r="K554" i="1"/>
  <c r="K558" i="1"/>
  <c r="K562" i="1"/>
  <c r="K566" i="1"/>
  <c r="K570" i="1"/>
  <c r="K574" i="1"/>
  <c r="K578" i="1"/>
  <c r="K582" i="1"/>
  <c r="K586" i="1"/>
  <c r="K590" i="1"/>
  <c r="K594" i="1"/>
  <c r="K598" i="1"/>
  <c r="K602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66" i="1"/>
  <c r="K670" i="1"/>
  <c r="K674" i="1"/>
  <c r="K678" i="1"/>
  <c r="K682" i="1"/>
  <c r="K686" i="1"/>
  <c r="K690" i="1"/>
  <c r="K694" i="1"/>
  <c r="K698" i="1"/>
  <c r="K702" i="1"/>
  <c r="K706" i="1"/>
  <c r="K710" i="1"/>
  <c r="K714" i="1"/>
  <c r="K718" i="1"/>
  <c r="K722" i="1"/>
  <c r="K726" i="1"/>
  <c r="K730" i="1"/>
  <c r="K734" i="1"/>
  <c r="K738" i="1"/>
  <c r="K353" i="1"/>
  <c r="K361" i="1"/>
  <c r="K367" i="1"/>
  <c r="K371" i="1"/>
  <c r="K375" i="1"/>
  <c r="K379" i="1"/>
  <c r="K383" i="1"/>
  <c r="K387" i="1"/>
  <c r="K391" i="1"/>
  <c r="K395" i="1"/>
  <c r="K399" i="1"/>
  <c r="K403" i="1"/>
  <c r="K407" i="1"/>
  <c r="K411" i="1"/>
  <c r="K415" i="1"/>
  <c r="K419" i="1"/>
  <c r="K423" i="1"/>
  <c r="K427" i="1"/>
  <c r="K431" i="1"/>
  <c r="K435" i="1"/>
  <c r="K439" i="1"/>
  <c r="K443" i="1"/>
  <c r="K447" i="1"/>
  <c r="K451" i="1"/>
  <c r="K455" i="1"/>
  <c r="K459" i="1"/>
  <c r="K463" i="1"/>
  <c r="K467" i="1"/>
  <c r="K471" i="1"/>
  <c r="K475" i="1"/>
  <c r="K479" i="1"/>
  <c r="K483" i="1"/>
  <c r="K487" i="1"/>
  <c r="K491" i="1"/>
  <c r="K495" i="1"/>
  <c r="K499" i="1"/>
  <c r="K503" i="1"/>
  <c r="K507" i="1"/>
  <c r="K511" i="1"/>
  <c r="K515" i="1"/>
  <c r="K519" i="1"/>
  <c r="K523" i="1"/>
  <c r="K527" i="1"/>
  <c r="K531" i="1"/>
  <c r="K535" i="1"/>
  <c r="K539" i="1"/>
  <c r="K543" i="1"/>
  <c r="K547" i="1"/>
  <c r="K551" i="1"/>
  <c r="K555" i="1"/>
  <c r="K559" i="1"/>
  <c r="K563" i="1"/>
  <c r="K567" i="1"/>
  <c r="K571" i="1"/>
  <c r="K575" i="1"/>
  <c r="K579" i="1"/>
  <c r="K583" i="1"/>
  <c r="K587" i="1"/>
  <c r="K591" i="1"/>
  <c r="K595" i="1"/>
  <c r="K599" i="1"/>
  <c r="K603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667" i="1"/>
  <c r="K671" i="1"/>
  <c r="K675" i="1"/>
  <c r="K679" i="1"/>
  <c r="K683" i="1"/>
  <c r="K687" i="1"/>
  <c r="K691" i="1"/>
  <c r="K695" i="1"/>
  <c r="K699" i="1"/>
  <c r="K703" i="1"/>
  <c r="K707" i="1"/>
  <c r="K711" i="1"/>
  <c r="K715" i="1"/>
  <c r="K719" i="1"/>
  <c r="K723" i="1"/>
  <c r="K727" i="1"/>
  <c r="K731" i="1"/>
  <c r="K735" i="1"/>
  <c r="K739" i="1"/>
  <c r="K355" i="1"/>
  <c r="K363" i="1"/>
  <c r="K368" i="1"/>
  <c r="K372" i="1"/>
  <c r="K376" i="1"/>
  <c r="K380" i="1"/>
  <c r="K384" i="1"/>
  <c r="K388" i="1"/>
  <c r="K392" i="1"/>
  <c r="K396" i="1"/>
  <c r="K400" i="1"/>
  <c r="K404" i="1"/>
  <c r="K408" i="1"/>
  <c r="K412" i="1"/>
  <c r="K416" i="1"/>
  <c r="K420" i="1"/>
  <c r="K424" i="1"/>
  <c r="K428" i="1"/>
  <c r="K432" i="1"/>
  <c r="K436" i="1"/>
  <c r="K440" i="1"/>
  <c r="K444" i="1"/>
  <c r="K448" i="1"/>
  <c r="K452" i="1"/>
  <c r="K456" i="1"/>
  <c r="K460" i="1"/>
  <c r="K464" i="1"/>
  <c r="K468" i="1"/>
  <c r="K472" i="1"/>
  <c r="K476" i="1"/>
  <c r="K480" i="1"/>
  <c r="K484" i="1"/>
  <c r="K488" i="1"/>
  <c r="K492" i="1"/>
  <c r="K496" i="1"/>
  <c r="K500" i="1"/>
  <c r="K504" i="1"/>
  <c r="K508" i="1"/>
  <c r="K512" i="1"/>
  <c r="K516" i="1"/>
  <c r="K520" i="1"/>
  <c r="K524" i="1"/>
  <c r="K528" i="1"/>
  <c r="K532" i="1"/>
  <c r="K536" i="1"/>
  <c r="K540" i="1"/>
  <c r="K544" i="1"/>
  <c r="K548" i="1"/>
  <c r="K552" i="1"/>
  <c r="K556" i="1"/>
  <c r="K560" i="1"/>
  <c r="K564" i="1"/>
  <c r="K568" i="1"/>
  <c r="K572" i="1"/>
  <c r="K576" i="1"/>
  <c r="K580" i="1"/>
  <c r="K584" i="1"/>
  <c r="K588" i="1"/>
  <c r="K592" i="1"/>
  <c r="K596" i="1"/>
  <c r="K600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52" i="1"/>
  <c r="K656" i="1"/>
  <c r="K660" i="1"/>
  <c r="K664" i="1"/>
  <c r="K668" i="1"/>
  <c r="K672" i="1"/>
  <c r="K676" i="1"/>
  <c r="K680" i="1"/>
  <c r="K684" i="1"/>
  <c r="K688" i="1"/>
  <c r="K692" i="1"/>
  <c r="K696" i="1"/>
  <c r="K700" i="1"/>
  <c r="K704" i="1"/>
  <c r="K708" i="1"/>
  <c r="K712" i="1"/>
  <c r="K716" i="1"/>
  <c r="K720" i="1"/>
  <c r="K724" i="1"/>
  <c r="K728" i="1"/>
  <c r="K732" i="1"/>
  <c r="K736" i="1"/>
  <c r="K740" i="1"/>
  <c r="K357" i="1"/>
  <c r="K365" i="1"/>
  <c r="K369" i="1"/>
  <c r="K373" i="1"/>
  <c r="K377" i="1"/>
  <c r="K381" i="1"/>
  <c r="K385" i="1"/>
  <c r="K389" i="1"/>
  <c r="K393" i="1"/>
  <c r="K397" i="1"/>
  <c r="K401" i="1"/>
  <c r="K405" i="1"/>
  <c r="K409" i="1"/>
  <c r="K413" i="1"/>
  <c r="K417" i="1"/>
  <c r="K421" i="1"/>
  <c r="K425" i="1"/>
  <c r="K429" i="1"/>
  <c r="K433" i="1"/>
  <c r="K437" i="1"/>
  <c r="K441" i="1"/>
  <c r="K445" i="1"/>
  <c r="K449" i="1"/>
  <c r="K453" i="1"/>
  <c r="K457" i="1"/>
  <c r="K461" i="1"/>
  <c r="K465" i="1"/>
  <c r="K469" i="1"/>
  <c r="K473" i="1"/>
  <c r="K477" i="1"/>
  <c r="K481" i="1"/>
  <c r="K485" i="1"/>
  <c r="K489" i="1"/>
  <c r="K493" i="1"/>
  <c r="K497" i="1"/>
  <c r="K501" i="1"/>
  <c r="K505" i="1"/>
  <c r="K509" i="1"/>
  <c r="K513" i="1"/>
  <c r="K517" i="1"/>
  <c r="K521" i="1"/>
  <c r="K525" i="1"/>
  <c r="K529" i="1"/>
  <c r="K533" i="1"/>
  <c r="K537" i="1"/>
  <c r="K541" i="1"/>
  <c r="K545" i="1"/>
  <c r="K549" i="1"/>
  <c r="K553" i="1"/>
  <c r="K557" i="1"/>
  <c r="K561" i="1"/>
  <c r="K565" i="1"/>
  <c r="K569" i="1"/>
  <c r="K573" i="1"/>
  <c r="K577" i="1"/>
  <c r="K581" i="1"/>
  <c r="K585" i="1"/>
  <c r="K589" i="1"/>
  <c r="K593" i="1"/>
  <c r="K597" i="1"/>
  <c r="K601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65" i="1"/>
  <c r="K669" i="1"/>
  <c r="K673" i="1"/>
  <c r="K677" i="1"/>
  <c r="K681" i="1"/>
  <c r="K685" i="1"/>
  <c r="K689" i="1"/>
  <c r="K693" i="1"/>
  <c r="K697" i="1"/>
  <c r="K701" i="1"/>
  <c r="K705" i="1"/>
  <c r="K709" i="1"/>
  <c r="K713" i="1"/>
  <c r="K717" i="1"/>
  <c r="K721" i="1"/>
  <c r="K725" i="1"/>
  <c r="K729" i="1"/>
  <c r="K733" i="1"/>
  <c r="K737" i="1"/>
  <c r="K741" i="1"/>
  <c r="C38" i="2"/>
  <c r="E38" i="2" s="1"/>
  <c r="C39" i="2"/>
  <c r="E39" i="2" s="1"/>
  <c r="C37" i="2"/>
  <c r="E37" i="2" s="1"/>
  <c r="E36" i="2"/>
  <c r="E35" i="2"/>
  <c r="E31" i="2"/>
  <c r="E30" i="2"/>
  <c r="E29" i="2"/>
  <c r="E28" i="2"/>
  <c r="E27" i="2"/>
  <c r="E23" i="2"/>
  <c r="E22" i="2"/>
  <c r="E21" i="2"/>
  <c r="E20" i="2"/>
  <c r="E19" i="2"/>
  <c r="E15" i="2"/>
  <c r="E14" i="2"/>
  <c r="E13" i="2"/>
  <c r="E12" i="2"/>
  <c r="E11" i="2"/>
  <c r="E7" i="2"/>
  <c r="E6" i="2"/>
  <c r="E5" i="2"/>
  <c r="E4" i="2"/>
  <c r="E3" i="2"/>
  <c r="B16" i="1" l="1"/>
  <c r="B39" i="1"/>
  <c r="T39" i="1" l="1"/>
  <c r="F39" i="1"/>
  <c r="D39" i="1"/>
  <c r="B40" i="1"/>
  <c r="O39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269" i="1"/>
  <c r="H273" i="1"/>
  <c r="H277" i="1"/>
  <c r="H281" i="1"/>
  <c r="H285" i="1"/>
  <c r="H289" i="1"/>
  <c r="H293" i="1"/>
  <c r="H297" i="1"/>
  <c r="H301" i="1"/>
  <c r="H305" i="1"/>
  <c r="H309" i="1"/>
  <c r="H313" i="1"/>
  <c r="H317" i="1"/>
  <c r="H321" i="1"/>
  <c r="H325" i="1"/>
  <c r="H329" i="1"/>
  <c r="H308" i="1"/>
  <c r="H324" i="1"/>
  <c r="H333" i="1"/>
  <c r="H337" i="1"/>
  <c r="H341" i="1"/>
  <c r="H345" i="1"/>
  <c r="H349" i="1"/>
  <c r="H353" i="1"/>
  <c r="H357" i="1"/>
  <c r="H361" i="1"/>
  <c r="H365" i="1"/>
  <c r="H369" i="1"/>
  <c r="H373" i="1"/>
  <c r="H377" i="1"/>
  <c r="H381" i="1"/>
  <c r="H385" i="1"/>
  <c r="H389" i="1"/>
  <c r="H393" i="1"/>
  <c r="H397" i="1"/>
  <c r="H401" i="1"/>
  <c r="H405" i="1"/>
  <c r="H409" i="1"/>
  <c r="H413" i="1"/>
  <c r="H417" i="1"/>
  <c r="H421" i="1"/>
  <c r="H425" i="1"/>
  <c r="H429" i="1"/>
  <c r="H433" i="1"/>
  <c r="H437" i="1"/>
  <c r="H441" i="1"/>
  <c r="H445" i="1"/>
  <c r="H449" i="1"/>
  <c r="H453" i="1"/>
  <c r="H457" i="1"/>
  <c r="H461" i="1"/>
  <c r="H465" i="1"/>
  <c r="H469" i="1"/>
  <c r="H473" i="1"/>
  <c r="H477" i="1"/>
  <c r="H481" i="1"/>
  <c r="H485" i="1"/>
  <c r="H489" i="1"/>
  <c r="H493" i="1"/>
  <c r="H497" i="1"/>
  <c r="H501" i="1"/>
  <c r="H505" i="1"/>
  <c r="H509" i="1"/>
  <c r="H513" i="1"/>
  <c r="H517" i="1"/>
  <c r="H521" i="1"/>
  <c r="H525" i="1"/>
  <c r="H529" i="1"/>
  <c r="H533" i="1"/>
  <c r="H537" i="1"/>
  <c r="H541" i="1"/>
  <c r="H545" i="1"/>
  <c r="H549" i="1"/>
  <c r="H553" i="1"/>
  <c r="H557" i="1"/>
  <c r="H561" i="1"/>
  <c r="H565" i="1"/>
  <c r="H569" i="1"/>
  <c r="H573" i="1"/>
  <c r="H577" i="1"/>
  <c r="H581" i="1"/>
  <c r="H585" i="1"/>
  <c r="H589" i="1"/>
  <c r="H593" i="1"/>
  <c r="H597" i="1"/>
  <c r="H601" i="1"/>
  <c r="H605" i="1"/>
  <c r="H609" i="1"/>
  <c r="H613" i="1"/>
  <c r="H617" i="1"/>
  <c r="H621" i="1"/>
  <c r="H625" i="1"/>
  <c r="H629" i="1"/>
  <c r="H633" i="1"/>
  <c r="H637" i="1"/>
  <c r="H641" i="1"/>
  <c r="H645" i="1"/>
  <c r="H649" i="1"/>
  <c r="H653" i="1"/>
  <c r="H657" i="1"/>
  <c r="H661" i="1"/>
  <c r="H665" i="1"/>
  <c r="H669" i="1"/>
  <c r="H673" i="1"/>
  <c r="H677" i="1"/>
  <c r="H681" i="1"/>
  <c r="H685" i="1"/>
  <c r="H689" i="1"/>
  <c r="H693" i="1"/>
  <c r="H697" i="1"/>
  <c r="H701" i="1"/>
  <c r="H705" i="1"/>
  <c r="H709" i="1"/>
  <c r="H713" i="1"/>
  <c r="H717" i="1"/>
  <c r="H721" i="1"/>
  <c r="H725" i="1"/>
  <c r="H729" i="1"/>
  <c r="H733" i="1"/>
  <c r="H737" i="1"/>
  <c r="H741" i="1"/>
  <c r="H730" i="1"/>
  <c r="H738" i="1"/>
  <c r="H715" i="1"/>
  <c r="H727" i="1"/>
  <c r="H735" i="1"/>
  <c r="H312" i="1"/>
  <c r="H328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394" i="1"/>
  <c r="H398" i="1"/>
  <c r="H402" i="1"/>
  <c r="H406" i="1"/>
  <c r="H410" i="1"/>
  <c r="H414" i="1"/>
  <c r="H418" i="1"/>
  <c r="H422" i="1"/>
  <c r="H426" i="1"/>
  <c r="H430" i="1"/>
  <c r="H434" i="1"/>
  <c r="H438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H586" i="1"/>
  <c r="H590" i="1"/>
  <c r="H594" i="1"/>
  <c r="H598" i="1"/>
  <c r="H602" i="1"/>
  <c r="H606" i="1"/>
  <c r="H610" i="1"/>
  <c r="H614" i="1"/>
  <c r="H618" i="1"/>
  <c r="H622" i="1"/>
  <c r="H626" i="1"/>
  <c r="H630" i="1"/>
  <c r="H634" i="1"/>
  <c r="H638" i="1"/>
  <c r="H642" i="1"/>
  <c r="H646" i="1"/>
  <c r="H650" i="1"/>
  <c r="H654" i="1"/>
  <c r="H658" i="1"/>
  <c r="H662" i="1"/>
  <c r="H666" i="1"/>
  <c r="H670" i="1"/>
  <c r="H674" i="1"/>
  <c r="H678" i="1"/>
  <c r="H682" i="1"/>
  <c r="H686" i="1"/>
  <c r="H690" i="1"/>
  <c r="H694" i="1"/>
  <c r="H698" i="1"/>
  <c r="H702" i="1"/>
  <c r="H706" i="1"/>
  <c r="H710" i="1"/>
  <c r="H714" i="1"/>
  <c r="H718" i="1"/>
  <c r="H722" i="1"/>
  <c r="H726" i="1"/>
  <c r="H734" i="1"/>
  <c r="H719" i="1"/>
  <c r="H731" i="1"/>
  <c r="H316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23" i="1"/>
  <c r="H739" i="1"/>
  <c r="H320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516" i="1"/>
  <c r="H520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08" i="1"/>
  <c r="H612" i="1"/>
  <c r="H616" i="1"/>
  <c r="H620" i="1"/>
  <c r="H624" i="1"/>
  <c r="H628" i="1"/>
  <c r="H632" i="1"/>
  <c r="H636" i="1"/>
  <c r="H640" i="1"/>
  <c r="H644" i="1"/>
  <c r="H648" i="1"/>
  <c r="H652" i="1"/>
  <c r="H656" i="1"/>
  <c r="H660" i="1"/>
  <c r="H664" i="1"/>
  <c r="H668" i="1"/>
  <c r="H672" i="1"/>
  <c r="H676" i="1"/>
  <c r="H680" i="1"/>
  <c r="H684" i="1"/>
  <c r="H688" i="1"/>
  <c r="H692" i="1"/>
  <c r="H696" i="1"/>
  <c r="H700" i="1"/>
  <c r="H704" i="1"/>
  <c r="H708" i="1"/>
  <c r="H712" i="1"/>
  <c r="H716" i="1"/>
  <c r="H720" i="1"/>
  <c r="H724" i="1"/>
  <c r="H728" i="1"/>
  <c r="H732" i="1"/>
  <c r="H736" i="1"/>
  <c r="H740" i="1"/>
  <c r="C38" i="1"/>
  <c r="T40" i="1" l="1"/>
  <c r="F40" i="1"/>
  <c r="D40" i="1"/>
  <c r="B41" i="1"/>
  <c r="O40" i="1"/>
  <c r="Y18" i="1"/>
  <c r="Y19" i="1"/>
  <c r="Y20" i="1"/>
  <c r="Y17" i="1"/>
  <c r="X18" i="1"/>
  <c r="X19" i="1"/>
  <c r="X20" i="1"/>
  <c r="X21" i="1" s="1"/>
  <c r="X17" i="1"/>
  <c r="D31" i="1"/>
  <c r="G22" i="1"/>
  <c r="G19" i="1"/>
  <c r="D24" i="1"/>
  <c r="D15" i="1"/>
  <c r="M30" i="1"/>
  <c r="M24" i="1"/>
  <c r="T41" i="1" l="1"/>
  <c r="F41" i="1"/>
  <c r="D41" i="1"/>
  <c r="G741" i="1"/>
  <c r="G737" i="1"/>
  <c r="G733" i="1"/>
  <c r="G729" i="1"/>
  <c r="G725" i="1"/>
  <c r="G721" i="1"/>
  <c r="G717" i="1"/>
  <c r="G713" i="1"/>
  <c r="G709" i="1"/>
  <c r="G705" i="1"/>
  <c r="G701" i="1"/>
  <c r="G697" i="1"/>
  <c r="G693" i="1"/>
  <c r="G689" i="1"/>
  <c r="G685" i="1"/>
  <c r="G681" i="1"/>
  <c r="G677" i="1"/>
  <c r="G673" i="1"/>
  <c r="G669" i="1"/>
  <c r="G665" i="1"/>
  <c r="G661" i="1"/>
  <c r="G657" i="1"/>
  <c r="G653" i="1"/>
  <c r="G649" i="1"/>
  <c r="G645" i="1"/>
  <c r="G641" i="1"/>
  <c r="G637" i="1"/>
  <c r="G633" i="1"/>
  <c r="G629" i="1"/>
  <c r="G625" i="1"/>
  <c r="G621" i="1"/>
  <c r="G617" i="1"/>
  <c r="G613" i="1"/>
  <c r="G609" i="1"/>
  <c r="G605" i="1"/>
  <c r="G601" i="1"/>
  <c r="G597" i="1"/>
  <c r="G593" i="1"/>
  <c r="G589" i="1"/>
  <c r="G585" i="1"/>
  <c r="G581" i="1"/>
  <c r="G577" i="1"/>
  <c r="G573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445" i="1"/>
  <c r="G441" i="1"/>
  <c r="G437" i="1"/>
  <c r="G433" i="1"/>
  <c r="G429" i="1"/>
  <c r="G425" i="1"/>
  <c r="G421" i="1"/>
  <c r="G417" i="1"/>
  <c r="G413" i="1"/>
  <c r="G409" i="1"/>
  <c r="G405" i="1"/>
  <c r="G740" i="1"/>
  <c r="G736" i="1"/>
  <c r="G732" i="1"/>
  <c r="G728" i="1"/>
  <c r="G724" i="1"/>
  <c r="G720" i="1"/>
  <c r="G716" i="1"/>
  <c r="G712" i="1"/>
  <c r="G708" i="1"/>
  <c r="G704" i="1"/>
  <c r="G700" i="1"/>
  <c r="G696" i="1"/>
  <c r="G692" i="1"/>
  <c r="G688" i="1"/>
  <c r="G684" i="1"/>
  <c r="G680" i="1"/>
  <c r="G676" i="1"/>
  <c r="G672" i="1"/>
  <c r="G668" i="1"/>
  <c r="G664" i="1"/>
  <c r="G660" i="1"/>
  <c r="G656" i="1"/>
  <c r="G652" i="1"/>
  <c r="G648" i="1"/>
  <c r="G644" i="1"/>
  <c r="G640" i="1"/>
  <c r="G636" i="1"/>
  <c r="G632" i="1"/>
  <c r="G628" i="1"/>
  <c r="G624" i="1"/>
  <c r="G620" i="1"/>
  <c r="G616" i="1"/>
  <c r="G612" i="1"/>
  <c r="G608" i="1"/>
  <c r="G604" i="1"/>
  <c r="G600" i="1"/>
  <c r="G596" i="1"/>
  <c r="G592" i="1"/>
  <c r="G588" i="1"/>
  <c r="G584" i="1"/>
  <c r="G580" i="1"/>
  <c r="G576" i="1"/>
  <c r="G572" i="1"/>
  <c r="G568" i="1"/>
  <c r="G564" i="1"/>
  <c r="G560" i="1"/>
  <c r="G556" i="1"/>
  <c r="G552" i="1"/>
  <c r="G548" i="1"/>
  <c r="G544" i="1"/>
  <c r="G540" i="1"/>
  <c r="G536" i="1"/>
  <c r="G532" i="1"/>
  <c r="G528" i="1"/>
  <c r="G524" i="1"/>
  <c r="G520" i="1"/>
  <c r="G516" i="1"/>
  <c r="G512" i="1"/>
  <c r="G508" i="1"/>
  <c r="G504" i="1"/>
  <c r="G500" i="1"/>
  <c r="G496" i="1"/>
  <c r="G492" i="1"/>
  <c r="G488" i="1"/>
  <c r="G484" i="1"/>
  <c r="G480" i="1"/>
  <c r="G476" i="1"/>
  <c r="G472" i="1"/>
  <c r="G468" i="1"/>
  <c r="G464" i="1"/>
  <c r="G460" i="1"/>
  <c r="G456" i="1"/>
  <c r="G452" i="1"/>
  <c r="G448" i="1"/>
  <c r="G444" i="1"/>
  <c r="G440" i="1"/>
  <c r="G436" i="1"/>
  <c r="G432" i="1"/>
  <c r="G428" i="1"/>
  <c r="G424" i="1"/>
  <c r="G420" i="1"/>
  <c r="G416" i="1"/>
  <c r="G412" i="1"/>
  <c r="G739" i="1"/>
  <c r="G735" i="1"/>
  <c r="G731" i="1"/>
  <c r="G727" i="1"/>
  <c r="G723" i="1"/>
  <c r="G719" i="1"/>
  <c r="G715" i="1"/>
  <c r="G711" i="1"/>
  <c r="G707" i="1"/>
  <c r="G703" i="1"/>
  <c r="G699" i="1"/>
  <c r="G695" i="1"/>
  <c r="G691" i="1"/>
  <c r="G687" i="1"/>
  <c r="G683" i="1"/>
  <c r="G679" i="1"/>
  <c r="G675" i="1"/>
  <c r="G671" i="1"/>
  <c r="G667" i="1"/>
  <c r="G663" i="1"/>
  <c r="G659" i="1"/>
  <c r="G655" i="1"/>
  <c r="G651" i="1"/>
  <c r="G647" i="1"/>
  <c r="G643" i="1"/>
  <c r="G639" i="1"/>
  <c r="G635" i="1"/>
  <c r="G631" i="1"/>
  <c r="G627" i="1"/>
  <c r="G623" i="1"/>
  <c r="G619" i="1"/>
  <c r="G615" i="1"/>
  <c r="G611" i="1"/>
  <c r="G607" i="1"/>
  <c r="G603" i="1"/>
  <c r="G599" i="1"/>
  <c r="G595" i="1"/>
  <c r="G591" i="1"/>
  <c r="G587" i="1"/>
  <c r="G583" i="1"/>
  <c r="G579" i="1"/>
  <c r="G575" i="1"/>
  <c r="G571" i="1"/>
  <c r="G567" i="1"/>
  <c r="G563" i="1"/>
  <c r="G559" i="1"/>
  <c r="G555" i="1"/>
  <c r="G551" i="1"/>
  <c r="G547" i="1"/>
  <c r="G543" i="1"/>
  <c r="G539" i="1"/>
  <c r="G535" i="1"/>
  <c r="G531" i="1"/>
  <c r="G527" i="1"/>
  <c r="G523" i="1"/>
  <c r="G519" i="1"/>
  <c r="G515" i="1"/>
  <c r="G511" i="1"/>
  <c r="G507" i="1"/>
  <c r="G503" i="1"/>
  <c r="G499" i="1"/>
  <c r="G495" i="1"/>
  <c r="G491" i="1"/>
  <c r="G487" i="1"/>
  <c r="G483" i="1"/>
  <c r="G479" i="1"/>
  <c r="G475" i="1"/>
  <c r="G471" i="1"/>
  <c r="G467" i="1"/>
  <c r="G463" i="1"/>
  <c r="G459" i="1"/>
  <c r="G455" i="1"/>
  <c r="G451" i="1"/>
  <c r="G447" i="1"/>
  <c r="G443" i="1"/>
  <c r="G439" i="1"/>
  <c r="G435" i="1"/>
  <c r="G431" i="1"/>
  <c r="G427" i="1"/>
  <c r="G423" i="1"/>
  <c r="G419" i="1"/>
  <c r="G415" i="1"/>
  <c r="G411" i="1"/>
  <c r="G738" i="1"/>
  <c r="G734" i="1"/>
  <c r="G730" i="1"/>
  <c r="G726" i="1"/>
  <c r="G722" i="1"/>
  <c r="G718" i="1"/>
  <c r="G714" i="1"/>
  <c r="G710" i="1"/>
  <c r="G706" i="1"/>
  <c r="G702" i="1"/>
  <c r="G698" i="1"/>
  <c r="G694" i="1"/>
  <c r="G690" i="1"/>
  <c r="G686" i="1"/>
  <c r="G682" i="1"/>
  <c r="G678" i="1"/>
  <c r="G674" i="1"/>
  <c r="G670" i="1"/>
  <c r="G666" i="1"/>
  <c r="G662" i="1"/>
  <c r="G658" i="1"/>
  <c r="G654" i="1"/>
  <c r="G650" i="1"/>
  <c r="G646" i="1"/>
  <c r="G642" i="1"/>
  <c r="G638" i="1"/>
  <c r="G634" i="1"/>
  <c r="G630" i="1"/>
  <c r="G626" i="1"/>
  <c r="G622" i="1"/>
  <c r="G618" i="1"/>
  <c r="G614" i="1"/>
  <c r="G610" i="1"/>
  <c r="G606" i="1"/>
  <c r="G602" i="1"/>
  <c r="G598" i="1"/>
  <c r="G594" i="1"/>
  <c r="G590" i="1"/>
  <c r="G586" i="1"/>
  <c r="G582" i="1"/>
  <c r="G578" i="1"/>
  <c r="G574" i="1"/>
  <c r="G570" i="1"/>
  <c r="G566" i="1"/>
  <c r="G562" i="1"/>
  <c r="G558" i="1"/>
  <c r="G554" i="1"/>
  <c r="G550" i="1"/>
  <c r="G546" i="1"/>
  <c r="G542" i="1"/>
  <c r="G538" i="1"/>
  <c r="G534" i="1"/>
  <c r="G530" i="1"/>
  <c r="G526" i="1"/>
  <c r="G522" i="1"/>
  <c r="G518" i="1"/>
  <c r="G514" i="1"/>
  <c r="G510" i="1"/>
  <c r="G506" i="1"/>
  <c r="G502" i="1"/>
  <c r="G498" i="1"/>
  <c r="G494" i="1"/>
  <c r="G490" i="1"/>
  <c r="G486" i="1"/>
  <c r="G482" i="1"/>
  <c r="G478" i="1"/>
  <c r="G474" i="1"/>
  <c r="G470" i="1"/>
  <c r="G466" i="1"/>
  <c r="G462" i="1"/>
  <c r="G458" i="1"/>
  <c r="G454" i="1"/>
  <c r="G450" i="1"/>
  <c r="G446" i="1"/>
  <c r="G442" i="1"/>
  <c r="G438" i="1"/>
  <c r="G434" i="1"/>
  <c r="G430" i="1"/>
  <c r="G426" i="1"/>
  <c r="G422" i="1"/>
  <c r="G418" i="1"/>
  <c r="G414" i="1"/>
  <c r="G410" i="1"/>
  <c r="G408" i="1"/>
  <c r="G403" i="1"/>
  <c r="G399" i="1"/>
  <c r="G395" i="1"/>
  <c r="G391" i="1"/>
  <c r="G387" i="1"/>
  <c r="G383" i="1"/>
  <c r="G379" i="1"/>
  <c r="G375" i="1"/>
  <c r="G37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407" i="1"/>
  <c r="G402" i="1"/>
  <c r="G398" i="1"/>
  <c r="G394" i="1"/>
  <c r="G390" i="1"/>
  <c r="G386" i="1"/>
  <c r="G382" i="1"/>
  <c r="G378" i="1"/>
  <c r="G374" i="1"/>
  <c r="G37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406" i="1"/>
  <c r="G401" i="1"/>
  <c r="G397" i="1"/>
  <c r="G393" i="1"/>
  <c r="G389" i="1"/>
  <c r="G385" i="1"/>
  <c r="G381" i="1"/>
  <c r="G377" i="1"/>
  <c r="G37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404" i="1"/>
  <c r="G400" i="1"/>
  <c r="G396" i="1"/>
  <c r="G392" i="1"/>
  <c r="G388" i="1"/>
  <c r="G384" i="1"/>
  <c r="G380" i="1"/>
  <c r="G376" i="1"/>
  <c r="G37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2" i="1"/>
  <c r="G57" i="1"/>
  <c r="G53" i="1"/>
  <c r="G49" i="1"/>
  <c r="G45" i="1"/>
  <c r="G41" i="1"/>
  <c r="G66" i="1"/>
  <c r="G61" i="1"/>
  <c r="G56" i="1"/>
  <c r="G52" i="1"/>
  <c r="G48" i="1"/>
  <c r="G44" i="1"/>
  <c r="G40" i="1"/>
  <c r="G65" i="1"/>
  <c r="G60" i="1"/>
  <c r="G55" i="1"/>
  <c r="G51" i="1"/>
  <c r="G47" i="1"/>
  <c r="G43" i="1"/>
  <c r="G39" i="1"/>
  <c r="G64" i="1"/>
  <c r="G58" i="1"/>
  <c r="G54" i="1"/>
  <c r="G50" i="1"/>
  <c r="G46" i="1"/>
  <c r="G42" i="1"/>
  <c r="G38" i="1"/>
  <c r="B42" i="1"/>
  <c r="O41" i="1"/>
  <c r="U39" i="1"/>
  <c r="U38" i="1"/>
  <c r="U42" i="1"/>
  <c r="U41" i="1"/>
  <c r="U40" i="1"/>
  <c r="X24" i="1"/>
  <c r="X23" i="1"/>
  <c r="X22" i="1"/>
  <c r="M25" i="1"/>
  <c r="M28" i="1"/>
  <c r="M26" i="1"/>
  <c r="M27" i="1"/>
  <c r="M29" i="1"/>
  <c r="T42" i="1" l="1"/>
  <c r="F42" i="1"/>
  <c r="D42" i="1"/>
  <c r="B43" i="1"/>
  <c r="O42" i="1"/>
  <c r="C39" i="1"/>
  <c r="Y22" i="1"/>
  <c r="T43" i="1" l="1"/>
  <c r="F43" i="1"/>
  <c r="D43" i="1"/>
  <c r="B44" i="1"/>
  <c r="O43" i="1"/>
  <c r="U43" i="1"/>
  <c r="C40" i="1"/>
  <c r="Y23" i="1"/>
  <c r="Y21" i="1"/>
  <c r="Y24" i="1"/>
  <c r="Y38" i="1"/>
  <c r="T44" i="1" l="1"/>
  <c r="F44" i="1"/>
  <c r="D44" i="1"/>
  <c r="B45" i="1"/>
  <c r="O44" i="1"/>
  <c r="U44" i="1"/>
  <c r="C41" i="1"/>
  <c r="S27" i="1"/>
  <c r="U24" i="1"/>
  <c r="T24" i="1"/>
  <c r="R24" i="1"/>
  <c r="U23" i="1"/>
  <c r="T23" i="1"/>
  <c r="R23" i="1"/>
  <c r="N30" i="1"/>
  <c r="U22" i="1"/>
  <c r="T22" i="1"/>
  <c r="R22" i="1"/>
  <c r="R27" i="1" s="1"/>
  <c r="N29" i="1"/>
  <c r="U21" i="1"/>
  <c r="T21" i="1"/>
  <c r="R21" i="1"/>
  <c r="N28" i="1"/>
  <c r="N27" i="1"/>
  <c r="N26" i="1"/>
  <c r="N25" i="1"/>
  <c r="N24" i="1"/>
  <c r="T45" i="1" l="1"/>
  <c r="F45" i="1"/>
  <c r="D45" i="1"/>
  <c r="B46" i="1"/>
  <c r="O45" i="1"/>
  <c r="U45" i="1"/>
  <c r="C42" i="1"/>
  <c r="T27" i="1"/>
  <c r="Y39" i="1"/>
  <c r="O29" i="1"/>
  <c r="O25" i="1"/>
  <c r="O24" i="1"/>
  <c r="O30" i="1"/>
  <c r="O26" i="1"/>
  <c r="O28" i="1"/>
  <c r="O27" i="1"/>
  <c r="T46" i="1" l="1"/>
  <c r="F46" i="1"/>
  <c r="D46" i="1"/>
  <c r="B47" i="1"/>
  <c r="O46" i="1"/>
  <c r="U46" i="1"/>
  <c r="C43" i="1"/>
  <c r="V27" i="1"/>
  <c r="U27" i="1"/>
  <c r="Y40" i="1"/>
  <c r="T47" i="1" l="1"/>
  <c r="F47" i="1"/>
  <c r="D47" i="1"/>
  <c r="B48" i="1"/>
  <c r="O47" i="1"/>
  <c r="U47" i="1"/>
  <c r="C44" i="1"/>
  <c r="Y41" i="1"/>
  <c r="T48" i="1" l="1"/>
  <c r="F48" i="1"/>
  <c r="D48" i="1"/>
  <c r="B49" i="1"/>
  <c r="O48" i="1"/>
  <c r="U48" i="1"/>
  <c r="C45" i="1"/>
  <c r="W27" i="1"/>
  <c r="Y42" i="1"/>
  <c r="T49" i="1" l="1"/>
  <c r="F49" i="1"/>
  <c r="D49" i="1"/>
  <c r="B50" i="1"/>
  <c r="O49" i="1"/>
  <c r="U49" i="1"/>
  <c r="C46" i="1"/>
  <c r="Y43" i="1"/>
  <c r="T50" i="1" l="1"/>
  <c r="F50" i="1"/>
  <c r="D50" i="1"/>
  <c r="B51" i="1"/>
  <c r="O50" i="1"/>
  <c r="U50" i="1"/>
  <c r="C47" i="1"/>
  <c r="Y44" i="1"/>
  <c r="T51" i="1" l="1"/>
  <c r="F51" i="1"/>
  <c r="D51" i="1"/>
  <c r="B52" i="1"/>
  <c r="O51" i="1"/>
  <c r="U51" i="1"/>
  <c r="C48" i="1"/>
  <c r="Y45" i="1"/>
  <c r="T52" i="1" l="1"/>
  <c r="F52" i="1"/>
  <c r="D52" i="1"/>
  <c r="B53" i="1"/>
  <c r="O52" i="1"/>
  <c r="U52" i="1"/>
  <c r="C49" i="1"/>
  <c r="Y46" i="1"/>
  <c r="T53" i="1" l="1"/>
  <c r="F53" i="1"/>
  <c r="D53" i="1"/>
  <c r="B54" i="1"/>
  <c r="O53" i="1"/>
  <c r="U53" i="1"/>
  <c r="C50" i="1"/>
  <c r="Y47" i="1"/>
  <c r="T54" i="1" l="1"/>
  <c r="F54" i="1"/>
  <c r="D54" i="1"/>
  <c r="B55" i="1"/>
  <c r="O54" i="1"/>
  <c r="U54" i="1"/>
  <c r="C51" i="1"/>
  <c r="Y48" i="1"/>
  <c r="T55" i="1" l="1"/>
  <c r="F55" i="1"/>
  <c r="D55" i="1"/>
  <c r="B56" i="1"/>
  <c r="O55" i="1"/>
  <c r="U55" i="1"/>
  <c r="C52" i="1"/>
  <c r="Y49" i="1"/>
  <c r="T56" i="1" l="1"/>
  <c r="F56" i="1"/>
  <c r="D56" i="1"/>
  <c r="B57" i="1"/>
  <c r="O56" i="1"/>
  <c r="U56" i="1"/>
  <c r="C53" i="1"/>
  <c r="Y50" i="1"/>
  <c r="T57" i="1" l="1"/>
  <c r="F57" i="1"/>
  <c r="D57" i="1"/>
  <c r="B58" i="1"/>
  <c r="O57" i="1"/>
  <c r="U57" i="1"/>
  <c r="C54" i="1"/>
  <c r="Y51" i="1"/>
  <c r="T58" i="1" l="1"/>
  <c r="F58" i="1"/>
  <c r="D58" i="1"/>
  <c r="B59" i="1"/>
  <c r="O58" i="1"/>
  <c r="U58" i="1"/>
  <c r="C55" i="1"/>
  <c r="Y52" i="1"/>
  <c r="T59" i="1" l="1"/>
  <c r="F59" i="1"/>
  <c r="D59" i="1"/>
  <c r="B60" i="1"/>
  <c r="O59" i="1"/>
  <c r="U59" i="1"/>
  <c r="C56" i="1"/>
  <c r="Y53" i="1"/>
  <c r="T60" i="1" l="1"/>
  <c r="F60" i="1"/>
  <c r="D60" i="1"/>
  <c r="B61" i="1"/>
  <c r="O60" i="1"/>
  <c r="U60" i="1"/>
  <c r="C57" i="1"/>
  <c r="Y54" i="1"/>
  <c r="T61" i="1" l="1"/>
  <c r="F61" i="1"/>
  <c r="D61" i="1"/>
  <c r="B62" i="1"/>
  <c r="O61" i="1"/>
  <c r="U61" i="1"/>
  <c r="C58" i="1"/>
  <c r="Y55" i="1"/>
  <c r="T62" i="1" l="1"/>
  <c r="F62" i="1"/>
  <c r="D62" i="1"/>
  <c r="B63" i="1"/>
  <c r="O62" i="1"/>
  <c r="U62" i="1"/>
  <c r="C59" i="1"/>
  <c r="Y56" i="1"/>
  <c r="T63" i="1" l="1"/>
  <c r="F63" i="1"/>
  <c r="D63" i="1"/>
  <c r="B64" i="1"/>
  <c r="O63" i="1"/>
  <c r="U63" i="1"/>
  <c r="C60" i="1"/>
  <c r="Y57" i="1"/>
  <c r="T64" i="1" l="1"/>
  <c r="F64" i="1"/>
  <c r="D64" i="1"/>
  <c r="B65" i="1"/>
  <c r="O64" i="1"/>
  <c r="U64" i="1"/>
  <c r="C61" i="1"/>
  <c r="Y58" i="1"/>
  <c r="T65" i="1" l="1"/>
  <c r="F65" i="1"/>
  <c r="D65" i="1"/>
  <c r="B66" i="1"/>
  <c r="O65" i="1"/>
  <c r="U65" i="1"/>
  <c r="C62" i="1"/>
  <c r="Y59" i="1"/>
  <c r="T66" i="1" l="1"/>
  <c r="F66" i="1"/>
  <c r="D66" i="1"/>
  <c r="B67" i="1"/>
  <c r="O66" i="1"/>
  <c r="U66" i="1"/>
  <c r="C63" i="1"/>
  <c r="Y60" i="1"/>
  <c r="T67" i="1" l="1"/>
  <c r="F67" i="1"/>
  <c r="D67" i="1"/>
  <c r="B68" i="1"/>
  <c r="O67" i="1"/>
  <c r="U67" i="1"/>
  <c r="C64" i="1"/>
  <c r="Y61" i="1"/>
  <c r="T68" i="1" l="1"/>
  <c r="F68" i="1"/>
  <c r="D68" i="1"/>
  <c r="B69" i="1"/>
  <c r="O68" i="1"/>
  <c r="U68" i="1"/>
  <c r="C65" i="1"/>
  <c r="Y62" i="1"/>
  <c r="T69" i="1" l="1"/>
  <c r="F69" i="1"/>
  <c r="D69" i="1"/>
  <c r="B70" i="1"/>
  <c r="O69" i="1"/>
  <c r="U69" i="1"/>
  <c r="C66" i="1"/>
  <c r="Y63" i="1"/>
  <c r="T70" i="1" l="1"/>
  <c r="F70" i="1"/>
  <c r="D70" i="1"/>
  <c r="B71" i="1"/>
  <c r="O70" i="1"/>
  <c r="U70" i="1"/>
  <c r="C67" i="1"/>
  <c r="Y64" i="1"/>
  <c r="T71" i="1" l="1"/>
  <c r="F71" i="1"/>
  <c r="D71" i="1"/>
  <c r="B72" i="1"/>
  <c r="O71" i="1"/>
  <c r="U71" i="1"/>
  <c r="C68" i="1"/>
  <c r="Y65" i="1"/>
  <c r="T72" i="1" l="1"/>
  <c r="F72" i="1"/>
  <c r="D72" i="1"/>
  <c r="B73" i="1"/>
  <c r="O72" i="1"/>
  <c r="U72" i="1"/>
  <c r="C69" i="1"/>
  <c r="Y66" i="1"/>
  <c r="T73" i="1" l="1"/>
  <c r="F73" i="1"/>
  <c r="D73" i="1"/>
  <c r="B74" i="1"/>
  <c r="O73" i="1"/>
  <c r="U73" i="1"/>
  <c r="C70" i="1"/>
  <c r="Y67" i="1"/>
  <c r="T74" i="1" l="1"/>
  <c r="F74" i="1"/>
  <c r="D74" i="1"/>
  <c r="B75" i="1"/>
  <c r="O74" i="1"/>
  <c r="U74" i="1"/>
  <c r="C71" i="1"/>
  <c r="Y68" i="1"/>
  <c r="T75" i="1" l="1"/>
  <c r="F75" i="1"/>
  <c r="D75" i="1"/>
  <c r="B76" i="1"/>
  <c r="O75" i="1"/>
  <c r="U75" i="1"/>
  <c r="C72" i="1"/>
  <c r="Y69" i="1"/>
  <c r="T76" i="1" l="1"/>
  <c r="F76" i="1"/>
  <c r="D76" i="1"/>
  <c r="B77" i="1"/>
  <c r="O76" i="1"/>
  <c r="U76" i="1"/>
  <c r="C73" i="1"/>
  <c r="Y70" i="1"/>
  <c r="T77" i="1" l="1"/>
  <c r="F77" i="1"/>
  <c r="D77" i="1"/>
  <c r="B78" i="1"/>
  <c r="O77" i="1"/>
  <c r="U77" i="1"/>
  <c r="C74" i="1"/>
  <c r="Y71" i="1"/>
  <c r="T78" i="1" l="1"/>
  <c r="F78" i="1"/>
  <c r="D78" i="1"/>
  <c r="B79" i="1"/>
  <c r="O78" i="1"/>
  <c r="U78" i="1"/>
  <c r="C75" i="1"/>
  <c r="Y72" i="1"/>
  <c r="T79" i="1" l="1"/>
  <c r="F79" i="1"/>
  <c r="D79" i="1"/>
  <c r="B80" i="1"/>
  <c r="O79" i="1"/>
  <c r="U79" i="1"/>
  <c r="C76" i="1"/>
  <c r="Y73" i="1"/>
  <c r="T80" i="1" l="1"/>
  <c r="F80" i="1"/>
  <c r="D80" i="1"/>
  <c r="B81" i="1"/>
  <c r="O80" i="1"/>
  <c r="U80" i="1"/>
  <c r="C77" i="1"/>
  <c r="Y74" i="1"/>
  <c r="T81" i="1" l="1"/>
  <c r="F81" i="1"/>
  <c r="D81" i="1"/>
  <c r="B82" i="1"/>
  <c r="O81" i="1"/>
  <c r="U81" i="1"/>
  <c r="C78" i="1"/>
  <c r="Y75" i="1"/>
  <c r="T82" i="1" l="1"/>
  <c r="F82" i="1"/>
  <c r="D82" i="1"/>
  <c r="B83" i="1"/>
  <c r="O82" i="1"/>
  <c r="U82" i="1"/>
  <c r="C79" i="1"/>
  <c r="Y76" i="1"/>
  <c r="T83" i="1" l="1"/>
  <c r="F83" i="1"/>
  <c r="D83" i="1"/>
  <c r="B84" i="1"/>
  <c r="O83" i="1"/>
  <c r="U83" i="1"/>
  <c r="C80" i="1"/>
  <c r="Y77" i="1"/>
  <c r="T84" i="1" l="1"/>
  <c r="F84" i="1"/>
  <c r="D84" i="1"/>
  <c r="B85" i="1"/>
  <c r="O84" i="1"/>
  <c r="U84" i="1"/>
  <c r="C81" i="1"/>
  <c r="Y78" i="1"/>
  <c r="T85" i="1" l="1"/>
  <c r="F85" i="1"/>
  <c r="D85" i="1"/>
  <c r="B86" i="1"/>
  <c r="O85" i="1"/>
  <c r="U85" i="1"/>
  <c r="C82" i="1"/>
  <c r="Y79" i="1"/>
  <c r="T86" i="1" l="1"/>
  <c r="F86" i="1"/>
  <c r="D86" i="1"/>
  <c r="B87" i="1"/>
  <c r="O86" i="1"/>
  <c r="U86" i="1"/>
  <c r="C83" i="1"/>
  <c r="Y80" i="1"/>
  <c r="T87" i="1" l="1"/>
  <c r="F87" i="1"/>
  <c r="D87" i="1"/>
  <c r="B88" i="1"/>
  <c r="O87" i="1"/>
  <c r="U87" i="1"/>
  <c r="C84" i="1"/>
  <c r="Y81" i="1"/>
  <c r="T88" i="1" l="1"/>
  <c r="F88" i="1"/>
  <c r="D88" i="1"/>
  <c r="B89" i="1"/>
  <c r="O88" i="1"/>
  <c r="U88" i="1"/>
  <c r="C85" i="1"/>
  <c r="Y82" i="1"/>
  <c r="T89" i="1" l="1"/>
  <c r="F89" i="1"/>
  <c r="D89" i="1"/>
  <c r="B90" i="1"/>
  <c r="O89" i="1"/>
  <c r="U89" i="1"/>
  <c r="C86" i="1"/>
  <c r="Y83" i="1"/>
  <c r="T90" i="1" l="1"/>
  <c r="F90" i="1"/>
  <c r="D90" i="1"/>
  <c r="B91" i="1"/>
  <c r="O90" i="1"/>
  <c r="U90" i="1"/>
  <c r="C87" i="1"/>
  <c r="Y84" i="1"/>
  <c r="T91" i="1" l="1"/>
  <c r="F91" i="1"/>
  <c r="D91" i="1"/>
  <c r="B92" i="1"/>
  <c r="O91" i="1"/>
  <c r="U91" i="1"/>
  <c r="C88" i="1"/>
  <c r="Y85" i="1"/>
  <c r="T92" i="1" l="1"/>
  <c r="F92" i="1"/>
  <c r="D92" i="1"/>
  <c r="B93" i="1"/>
  <c r="O92" i="1"/>
  <c r="U92" i="1"/>
  <c r="C89" i="1"/>
  <c r="Y86" i="1"/>
  <c r="T93" i="1" l="1"/>
  <c r="F93" i="1"/>
  <c r="D93" i="1"/>
  <c r="B94" i="1"/>
  <c r="O93" i="1"/>
  <c r="U93" i="1"/>
  <c r="C90" i="1"/>
  <c r="Y87" i="1"/>
  <c r="T94" i="1" l="1"/>
  <c r="F94" i="1"/>
  <c r="D94" i="1"/>
  <c r="B95" i="1"/>
  <c r="O94" i="1"/>
  <c r="U94" i="1"/>
  <c r="C91" i="1"/>
  <c r="Y88" i="1"/>
  <c r="T95" i="1" l="1"/>
  <c r="F95" i="1"/>
  <c r="D95" i="1"/>
  <c r="B96" i="1"/>
  <c r="O95" i="1"/>
  <c r="U95" i="1"/>
  <c r="C92" i="1"/>
  <c r="Y89" i="1"/>
  <c r="T96" i="1" l="1"/>
  <c r="F96" i="1"/>
  <c r="D96" i="1"/>
  <c r="B97" i="1"/>
  <c r="O96" i="1"/>
  <c r="U96" i="1"/>
  <c r="C93" i="1"/>
  <c r="Y90" i="1"/>
  <c r="T97" i="1" l="1"/>
  <c r="F97" i="1"/>
  <c r="D97" i="1"/>
  <c r="B98" i="1"/>
  <c r="O97" i="1"/>
  <c r="U97" i="1"/>
  <c r="C94" i="1"/>
  <c r="Y91" i="1"/>
  <c r="T98" i="1" l="1"/>
  <c r="F98" i="1"/>
  <c r="D98" i="1"/>
  <c r="B99" i="1"/>
  <c r="O98" i="1"/>
  <c r="U98" i="1"/>
  <c r="C95" i="1"/>
  <c r="Y92" i="1"/>
  <c r="T99" i="1" l="1"/>
  <c r="F99" i="1"/>
  <c r="D99" i="1"/>
  <c r="B100" i="1"/>
  <c r="O99" i="1"/>
  <c r="U99" i="1"/>
  <c r="C96" i="1"/>
  <c r="Y93" i="1"/>
  <c r="T100" i="1" l="1"/>
  <c r="F100" i="1"/>
  <c r="D100" i="1"/>
  <c r="B101" i="1"/>
  <c r="O100" i="1"/>
  <c r="U100" i="1"/>
  <c r="C97" i="1"/>
  <c r="Y94" i="1"/>
  <c r="T101" i="1" l="1"/>
  <c r="F101" i="1"/>
  <c r="D101" i="1"/>
  <c r="B102" i="1"/>
  <c r="O101" i="1"/>
  <c r="U101" i="1"/>
  <c r="C98" i="1"/>
  <c r="Y95" i="1"/>
  <c r="T102" i="1" l="1"/>
  <c r="F102" i="1"/>
  <c r="D102" i="1"/>
  <c r="B103" i="1"/>
  <c r="O102" i="1"/>
  <c r="U102" i="1"/>
  <c r="C99" i="1"/>
  <c r="Y96" i="1"/>
  <c r="T103" i="1" l="1"/>
  <c r="F103" i="1"/>
  <c r="D103" i="1"/>
  <c r="B104" i="1"/>
  <c r="O103" i="1"/>
  <c r="U103" i="1"/>
  <c r="C100" i="1"/>
  <c r="Y97" i="1"/>
  <c r="T104" i="1" l="1"/>
  <c r="F104" i="1"/>
  <c r="D104" i="1"/>
  <c r="B105" i="1"/>
  <c r="O104" i="1"/>
  <c r="U104" i="1"/>
  <c r="C101" i="1"/>
  <c r="Y98" i="1"/>
  <c r="T105" i="1" l="1"/>
  <c r="F105" i="1"/>
  <c r="D105" i="1"/>
  <c r="B106" i="1"/>
  <c r="O105" i="1"/>
  <c r="U105" i="1"/>
  <c r="C102" i="1"/>
  <c r="Y99" i="1"/>
  <c r="T106" i="1" l="1"/>
  <c r="F106" i="1"/>
  <c r="D106" i="1"/>
  <c r="B107" i="1"/>
  <c r="O106" i="1"/>
  <c r="U106" i="1"/>
  <c r="C103" i="1"/>
  <c r="Y100" i="1"/>
  <c r="T107" i="1" l="1"/>
  <c r="F107" i="1"/>
  <c r="D107" i="1"/>
  <c r="B108" i="1"/>
  <c r="O107" i="1"/>
  <c r="U107" i="1"/>
  <c r="C104" i="1"/>
  <c r="Y101" i="1"/>
  <c r="T108" i="1" l="1"/>
  <c r="F108" i="1"/>
  <c r="D108" i="1"/>
  <c r="B109" i="1"/>
  <c r="O108" i="1"/>
  <c r="U108" i="1"/>
  <c r="C105" i="1"/>
  <c r="Y102" i="1"/>
  <c r="T109" i="1" l="1"/>
  <c r="F109" i="1"/>
  <c r="D109" i="1"/>
  <c r="B110" i="1"/>
  <c r="O109" i="1"/>
  <c r="U109" i="1"/>
  <c r="C106" i="1"/>
  <c r="Y103" i="1"/>
  <c r="T110" i="1" l="1"/>
  <c r="F110" i="1"/>
  <c r="D110" i="1"/>
  <c r="B111" i="1"/>
  <c r="O110" i="1"/>
  <c r="U110" i="1"/>
  <c r="C107" i="1"/>
  <c r="Y104" i="1"/>
  <c r="T111" i="1" l="1"/>
  <c r="F111" i="1"/>
  <c r="D111" i="1"/>
  <c r="B112" i="1"/>
  <c r="O111" i="1"/>
  <c r="U111" i="1"/>
  <c r="C108" i="1"/>
  <c r="Y105" i="1"/>
  <c r="T112" i="1" l="1"/>
  <c r="F112" i="1"/>
  <c r="D112" i="1"/>
  <c r="B113" i="1"/>
  <c r="O112" i="1"/>
  <c r="U112" i="1"/>
  <c r="C109" i="1"/>
  <c r="Y106" i="1"/>
  <c r="T113" i="1" l="1"/>
  <c r="F113" i="1"/>
  <c r="D113" i="1"/>
  <c r="B114" i="1"/>
  <c r="O113" i="1"/>
  <c r="U113" i="1"/>
  <c r="C110" i="1"/>
  <c r="Y107" i="1"/>
  <c r="T114" i="1" l="1"/>
  <c r="F114" i="1"/>
  <c r="D114" i="1"/>
  <c r="B115" i="1"/>
  <c r="O114" i="1"/>
  <c r="U114" i="1"/>
  <c r="C111" i="1"/>
  <c r="Y108" i="1"/>
  <c r="T115" i="1" l="1"/>
  <c r="F115" i="1"/>
  <c r="D115" i="1"/>
  <c r="B116" i="1"/>
  <c r="O115" i="1"/>
  <c r="U115" i="1"/>
  <c r="C112" i="1"/>
  <c r="Y109" i="1"/>
  <c r="T116" i="1" l="1"/>
  <c r="F116" i="1"/>
  <c r="D116" i="1"/>
  <c r="B117" i="1"/>
  <c r="O116" i="1"/>
  <c r="U116" i="1"/>
  <c r="C113" i="1"/>
  <c r="Y110" i="1"/>
  <c r="T117" i="1" l="1"/>
  <c r="F117" i="1"/>
  <c r="D117" i="1"/>
  <c r="B118" i="1"/>
  <c r="O117" i="1"/>
  <c r="U117" i="1"/>
  <c r="C114" i="1"/>
  <c r="Y111" i="1"/>
  <c r="T118" i="1" l="1"/>
  <c r="F118" i="1"/>
  <c r="D118" i="1"/>
  <c r="B119" i="1"/>
  <c r="O118" i="1"/>
  <c r="U118" i="1"/>
  <c r="C115" i="1"/>
  <c r="Y112" i="1"/>
  <c r="T119" i="1" l="1"/>
  <c r="F119" i="1"/>
  <c r="D119" i="1"/>
  <c r="B120" i="1"/>
  <c r="O119" i="1"/>
  <c r="U119" i="1"/>
  <c r="C116" i="1"/>
  <c r="Y113" i="1"/>
  <c r="T120" i="1" l="1"/>
  <c r="F120" i="1"/>
  <c r="D120" i="1"/>
  <c r="B121" i="1"/>
  <c r="O120" i="1"/>
  <c r="U120" i="1"/>
  <c r="C117" i="1"/>
  <c r="Y117" i="1"/>
  <c r="Y114" i="1"/>
  <c r="T121" i="1" l="1"/>
  <c r="F121" i="1"/>
  <c r="D121" i="1"/>
  <c r="B122" i="1"/>
  <c r="O121" i="1"/>
  <c r="U121" i="1"/>
  <c r="C118" i="1"/>
  <c r="Y115" i="1"/>
  <c r="T122" i="1" l="1"/>
  <c r="F122" i="1"/>
  <c r="D122" i="1"/>
  <c r="B123" i="1"/>
  <c r="O122" i="1"/>
  <c r="U122" i="1"/>
  <c r="C119" i="1"/>
  <c r="Y116" i="1"/>
  <c r="T123" i="1" l="1"/>
  <c r="F123" i="1"/>
  <c r="D123" i="1"/>
  <c r="B124" i="1"/>
  <c r="O123" i="1"/>
  <c r="U123" i="1"/>
  <c r="C120" i="1"/>
  <c r="T124" i="1" l="1"/>
  <c r="F124" i="1"/>
  <c r="D124" i="1"/>
  <c r="B125" i="1"/>
  <c r="O124" i="1"/>
  <c r="U124" i="1"/>
  <c r="C121" i="1"/>
  <c r="Y118" i="1"/>
  <c r="T125" i="1" l="1"/>
  <c r="F125" i="1"/>
  <c r="D125" i="1"/>
  <c r="B126" i="1"/>
  <c r="O125" i="1"/>
  <c r="U125" i="1"/>
  <c r="C122" i="1"/>
  <c r="Y119" i="1"/>
  <c r="T126" i="1" l="1"/>
  <c r="F126" i="1"/>
  <c r="D126" i="1"/>
  <c r="B127" i="1"/>
  <c r="O126" i="1"/>
  <c r="U126" i="1"/>
  <c r="C123" i="1"/>
  <c r="Y120" i="1"/>
  <c r="T127" i="1" l="1"/>
  <c r="F127" i="1"/>
  <c r="D127" i="1"/>
  <c r="B128" i="1"/>
  <c r="O127" i="1"/>
  <c r="U127" i="1"/>
  <c r="C124" i="1"/>
  <c r="Y121" i="1"/>
  <c r="T128" i="1" l="1"/>
  <c r="F128" i="1"/>
  <c r="D128" i="1"/>
  <c r="B129" i="1"/>
  <c r="O128" i="1"/>
  <c r="U128" i="1"/>
  <c r="C125" i="1"/>
  <c r="Y122" i="1"/>
  <c r="T129" i="1" l="1"/>
  <c r="F129" i="1"/>
  <c r="D129" i="1"/>
  <c r="B130" i="1"/>
  <c r="O129" i="1"/>
  <c r="U129" i="1"/>
  <c r="C126" i="1"/>
  <c r="Y123" i="1"/>
  <c r="T130" i="1" l="1"/>
  <c r="F130" i="1"/>
  <c r="D130" i="1"/>
  <c r="B131" i="1"/>
  <c r="O130" i="1"/>
  <c r="U130" i="1"/>
  <c r="C127" i="1"/>
  <c r="Y124" i="1"/>
  <c r="T131" i="1" l="1"/>
  <c r="F131" i="1"/>
  <c r="D131" i="1"/>
  <c r="B132" i="1"/>
  <c r="O131" i="1"/>
  <c r="U131" i="1"/>
  <c r="C128" i="1"/>
  <c r="Y125" i="1"/>
  <c r="T132" i="1" l="1"/>
  <c r="F132" i="1"/>
  <c r="D132" i="1"/>
  <c r="B133" i="1"/>
  <c r="O132" i="1"/>
  <c r="U132" i="1"/>
  <c r="C129" i="1"/>
  <c r="Y126" i="1"/>
  <c r="T133" i="1" l="1"/>
  <c r="F133" i="1"/>
  <c r="D133" i="1"/>
  <c r="B134" i="1"/>
  <c r="O133" i="1"/>
  <c r="U133" i="1"/>
  <c r="C130" i="1"/>
  <c r="Y127" i="1"/>
  <c r="T134" i="1" l="1"/>
  <c r="F134" i="1"/>
  <c r="D134" i="1"/>
  <c r="B135" i="1"/>
  <c r="O134" i="1"/>
  <c r="U134" i="1"/>
  <c r="C131" i="1"/>
  <c r="Y128" i="1"/>
  <c r="T135" i="1" l="1"/>
  <c r="F135" i="1"/>
  <c r="D135" i="1"/>
  <c r="B136" i="1"/>
  <c r="O135" i="1"/>
  <c r="U135" i="1"/>
  <c r="C132" i="1"/>
  <c r="Y129" i="1"/>
  <c r="T136" i="1" l="1"/>
  <c r="F136" i="1"/>
  <c r="D136" i="1"/>
  <c r="B137" i="1"/>
  <c r="O136" i="1"/>
  <c r="U136" i="1"/>
  <c r="C133" i="1"/>
  <c r="Y130" i="1"/>
  <c r="T137" i="1" l="1"/>
  <c r="F137" i="1"/>
  <c r="D137" i="1"/>
  <c r="B138" i="1"/>
  <c r="O137" i="1"/>
  <c r="U137" i="1"/>
  <c r="C134" i="1"/>
  <c r="Y131" i="1"/>
  <c r="T138" i="1" l="1"/>
  <c r="F138" i="1"/>
  <c r="D138" i="1"/>
  <c r="B139" i="1"/>
  <c r="O138" i="1"/>
  <c r="U138" i="1"/>
  <c r="C135" i="1"/>
  <c r="Y132" i="1"/>
  <c r="T139" i="1" l="1"/>
  <c r="F139" i="1"/>
  <c r="D139" i="1"/>
  <c r="B140" i="1"/>
  <c r="O139" i="1"/>
  <c r="U139" i="1"/>
  <c r="C136" i="1"/>
  <c r="Y133" i="1"/>
  <c r="T140" i="1" l="1"/>
  <c r="F140" i="1"/>
  <c r="D140" i="1"/>
  <c r="B141" i="1"/>
  <c r="O140" i="1"/>
  <c r="U140" i="1"/>
  <c r="C137" i="1"/>
  <c r="Y134" i="1"/>
  <c r="T141" i="1" l="1"/>
  <c r="F141" i="1"/>
  <c r="D141" i="1"/>
  <c r="B142" i="1"/>
  <c r="O141" i="1"/>
  <c r="U141" i="1"/>
  <c r="C138" i="1"/>
  <c r="Y135" i="1"/>
  <c r="T142" i="1" l="1"/>
  <c r="F142" i="1"/>
  <c r="D142" i="1"/>
  <c r="B143" i="1"/>
  <c r="O142" i="1"/>
  <c r="U142" i="1"/>
  <c r="C139" i="1"/>
  <c r="Y136" i="1"/>
  <c r="T143" i="1" l="1"/>
  <c r="F143" i="1"/>
  <c r="D143" i="1"/>
  <c r="B144" i="1"/>
  <c r="O143" i="1"/>
  <c r="U143" i="1"/>
  <c r="C140" i="1"/>
  <c r="Y137" i="1"/>
  <c r="T144" i="1" l="1"/>
  <c r="F144" i="1"/>
  <c r="D144" i="1"/>
  <c r="B145" i="1"/>
  <c r="O144" i="1"/>
  <c r="U144" i="1"/>
  <c r="C141" i="1"/>
  <c r="Y138" i="1"/>
  <c r="T145" i="1" l="1"/>
  <c r="F145" i="1"/>
  <c r="D145" i="1"/>
  <c r="B146" i="1"/>
  <c r="O145" i="1"/>
  <c r="U145" i="1"/>
  <c r="C142" i="1"/>
  <c r="Y139" i="1"/>
  <c r="T146" i="1" l="1"/>
  <c r="F146" i="1"/>
  <c r="D146" i="1"/>
  <c r="B147" i="1"/>
  <c r="O146" i="1"/>
  <c r="U146" i="1"/>
  <c r="C143" i="1"/>
  <c r="Y140" i="1"/>
  <c r="T147" i="1" l="1"/>
  <c r="F147" i="1"/>
  <c r="D147" i="1"/>
  <c r="B148" i="1"/>
  <c r="O147" i="1"/>
  <c r="U147" i="1"/>
  <c r="C144" i="1"/>
  <c r="Y141" i="1"/>
  <c r="T148" i="1" l="1"/>
  <c r="F148" i="1"/>
  <c r="D148" i="1"/>
  <c r="B149" i="1"/>
  <c r="O148" i="1"/>
  <c r="U148" i="1"/>
  <c r="C145" i="1"/>
  <c r="Y142" i="1"/>
  <c r="T149" i="1" l="1"/>
  <c r="F149" i="1"/>
  <c r="D149" i="1"/>
  <c r="B150" i="1"/>
  <c r="O149" i="1"/>
  <c r="U149" i="1"/>
  <c r="C146" i="1"/>
  <c r="Y143" i="1"/>
  <c r="T150" i="1" l="1"/>
  <c r="F150" i="1"/>
  <c r="D150" i="1"/>
  <c r="B151" i="1"/>
  <c r="O150" i="1"/>
  <c r="U150" i="1"/>
  <c r="C147" i="1"/>
  <c r="Y144" i="1"/>
  <c r="T151" i="1" l="1"/>
  <c r="F151" i="1"/>
  <c r="D151" i="1"/>
  <c r="B152" i="1"/>
  <c r="O151" i="1"/>
  <c r="U151" i="1"/>
  <c r="C148" i="1"/>
  <c r="Y145" i="1"/>
  <c r="T152" i="1" l="1"/>
  <c r="F152" i="1"/>
  <c r="D152" i="1"/>
  <c r="B153" i="1"/>
  <c r="O152" i="1"/>
  <c r="U152" i="1"/>
  <c r="C149" i="1"/>
  <c r="Y146" i="1"/>
  <c r="T153" i="1" l="1"/>
  <c r="F153" i="1"/>
  <c r="D153" i="1"/>
  <c r="B154" i="1"/>
  <c r="O153" i="1"/>
  <c r="U153" i="1"/>
  <c r="C150" i="1"/>
  <c r="Y147" i="1"/>
  <c r="T154" i="1" l="1"/>
  <c r="F154" i="1"/>
  <c r="D154" i="1"/>
  <c r="B155" i="1"/>
  <c r="O154" i="1"/>
  <c r="U154" i="1"/>
  <c r="C151" i="1"/>
  <c r="Y148" i="1"/>
  <c r="T155" i="1" l="1"/>
  <c r="F155" i="1"/>
  <c r="D155" i="1"/>
  <c r="B156" i="1"/>
  <c r="O155" i="1"/>
  <c r="U155" i="1"/>
  <c r="C152" i="1"/>
  <c r="Y149" i="1"/>
  <c r="T156" i="1" l="1"/>
  <c r="F156" i="1"/>
  <c r="D156" i="1"/>
  <c r="B157" i="1"/>
  <c r="O156" i="1"/>
  <c r="U156" i="1"/>
  <c r="C153" i="1"/>
  <c r="Y150" i="1"/>
  <c r="T157" i="1" l="1"/>
  <c r="F157" i="1"/>
  <c r="D157" i="1"/>
  <c r="B158" i="1"/>
  <c r="O157" i="1"/>
  <c r="U157" i="1"/>
  <c r="C154" i="1"/>
  <c r="Y151" i="1"/>
  <c r="T158" i="1" l="1"/>
  <c r="F158" i="1"/>
  <c r="D158" i="1"/>
  <c r="B159" i="1"/>
  <c r="O158" i="1"/>
  <c r="U158" i="1"/>
  <c r="C155" i="1"/>
  <c r="Y152" i="1"/>
  <c r="T159" i="1" l="1"/>
  <c r="F159" i="1"/>
  <c r="D159" i="1"/>
  <c r="B160" i="1"/>
  <c r="O159" i="1"/>
  <c r="U159" i="1"/>
  <c r="C156" i="1"/>
  <c r="Y153" i="1"/>
  <c r="T160" i="1" l="1"/>
  <c r="F160" i="1"/>
  <c r="D160" i="1"/>
  <c r="B161" i="1"/>
  <c r="O160" i="1"/>
  <c r="U160" i="1"/>
  <c r="C157" i="1"/>
  <c r="Y154" i="1"/>
  <c r="T161" i="1" l="1"/>
  <c r="F161" i="1"/>
  <c r="D161" i="1"/>
  <c r="B162" i="1"/>
  <c r="O161" i="1"/>
  <c r="U161" i="1"/>
  <c r="C158" i="1"/>
  <c r="Y155" i="1"/>
  <c r="T162" i="1" l="1"/>
  <c r="F162" i="1"/>
  <c r="D162" i="1"/>
  <c r="B163" i="1"/>
  <c r="O162" i="1"/>
  <c r="U162" i="1"/>
  <c r="C159" i="1"/>
  <c r="Y156" i="1"/>
  <c r="T163" i="1" l="1"/>
  <c r="F163" i="1"/>
  <c r="D163" i="1"/>
  <c r="B164" i="1"/>
  <c r="O163" i="1"/>
  <c r="U163" i="1"/>
  <c r="C160" i="1"/>
  <c r="Y157" i="1"/>
  <c r="T164" i="1" l="1"/>
  <c r="F164" i="1"/>
  <c r="D164" i="1"/>
  <c r="B165" i="1"/>
  <c r="O164" i="1"/>
  <c r="U164" i="1"/>
  <c r="C161" i="1"/>
  <c r="Y158" i="1"/>
  <c r="T165" i="1" l="1"/>
  <c r="F165" i="1"/>
  <c r="D165" i="1"/>
  <c r="B166" i="1"/>
  <c r="O165" i="1"/>
  <c r="U165" i="1"/>
  <c r="C162" i="1"/>
  <c r="Y159" i="1"/>
  <c r="T166" i="1" l="1"/>
  <c r="F166" i="1"/>
  <c r="D166" i="1"/>
  <c r="B167" i="1"/>
  <c r="O166" i="1"/>
  <c r="U166" i="1"/>
  <c r="C163" i="1"/>
  <c r="Y160" i="1"/>
  <c r="T167" i="1" l="1"/>
  <c r="F167" i="1"/>
  <c r="D167" i="1"/>
  <c r="B168" i="1"/>
  <c r="O167" i="1"/>
  <c r="U167" i="1"/>
  <c r="C164" i="1"/>
  <c r="Y161" i="1"/>
  <c r="T168" i="1" l="1"/>
  <c r="F168" i="1"/>
  <c r="D168" i="1"/>
  <c r="B169" i="1"/>
  <c r="O168" i="1"/>
  <c r="U168" i="1"/>
  <c r="C165" i="1"/>
  <c r="Y162" i="1"/>
  <c r="T169" i="1" l="1"/>
  <c r="F169" i="1"/>
  <c r="D169" i="1"/>
  <c r="B170" i="1"/>
  <c r="O169" i="1"/>
  <c r="U169" i="1"/>
  <c r="C166" i="1"/>
  <c r="Y163" i="1"/>
  <c r="T170" i="1" l="1"/>
  <c r="F170" i="1"/>
  <c r="D170" i="1"/>
  <c r="B171" i="1"/>
  <c r="O170" i="1"/>
  <c r="U170" i="1"/>
  <c r="C167" i="1"/>
  <c r="Y164" i="1"/>
  <c r="T171" i="1" l="1"/>
  <c r="F171" i="1"/>
  <c r="D171" i="1"/>
  <c r="B172" i="1"/>
  <c r="O171" i="1"/>
  <c r="U171" i="1"/>
  <c r="C168" i="1"/>
  <c r="Y165" i="1"/>
  <c r="T172" i="1" l="1"/>
  <c r="F172" i="1"/>
  <c r="D172" i="1"/>
  <c r="B173" i="1"/>
  <c r="O172" i="1"/>
  <c r="U172" i="1"/>
  <c r="C169" i="1"/>
  <c r="Y166" i="1"/>
  <c r="T173" i="1" l="1"/>
  <c r="F173" i="1"/>
  <c r="D173" i="1"/>
  <c r="B174" i="1"/>
  <c r="O173" i="1"/>
  <c r="U173" i="1"/>
  <c r="C170" i="1"/>
  <c r="Y167" i="1"/>
  <c r="T174" i="1" l="1"/>
  <c r="F174" i="1"/>
  <c r="D174" i="1"/>
  <c r="B175" i="1"/>
  <c r="O174" i="1"/>
  <c r="U174" i="1"/>
  <c r="C171" i="1"/>
  <c r="Y168" i="1"/>
  <c r="T175" i="1" l="1"/>
  <c r="F175" i="1"/>
  <c r="D175" i="1"/>
  <c r="B176" i="1"/>
  <c r="O175" i="1"/>
  <c r="U175" i="1"/>
  <c r="C172" i="1"/>
  <c r="Y169" i="1"/>
  <c r="T176" i="1" l="1"/>
  <c r="F176" i="1"/>
  <c r="D176" i="1"/>
  <c r="B177" i="1"/>
  <c r="O176" i="1"/>
  <c r="U176" i="1"/>
  <c r="C173" i="1"/>
  <c r="Y170" i="1"/>
  <c r="T177" i="1" l="1"/>
  <c r="F177" i="1"/>
  <c r="D177" i="1"/>
  <c r="B178" i="1"/>
  <c r="O177" i="1"/>
  <c r="U177" i="1"/>
  <c r="C174" i="1"/>
  <c r="Y171" i="1"/>
  <c r="T178" i="1" l="1"/>
  <c r="F178" i="1"/>
  <c r="D178" i="1"/>
  <c r="B179" i="1"/>
  <c r="O178" i="1"/>
  <c r="U178" i="1"/>
  <c r="C175" i="1"/>
  <c r="Y172" i="1"/>
  <c r="T179" i="1" l="1"/>
  <c r="F179" i="1"/>
  <c r="D179" i="1"/>
  <c r="B180" i="1"/>
  <c r="O179" i="1"/>
  <c r="U179" i="1"/>
  <c r="C176" i="1"/>
  <c r="Y173" i="1"/>
  <c r="T180" i="1" l="1"/>
  <c r="F180" i="1"/>
  <c r="D180" i="1"/>
  <c r="B181" i="1"/>
  <c r="O180" i="1"/>
  <c r="U180" i="1"/>
  <c r="C177" i="1"/>
  <c r="Y174" i="1"/>
  <c r="T181" i="1" l="1"/>
  <c r="F181" i="1"/>
  <c r="D181" i="1"/>
  <c r="B182" i="1"/>
  <c r="O181" i="1"/>
  <c r="U181" i="1"/>
  <c r="C178" i="1"/>
  <c r="Y175" i="1"/>
  <c r="T182" i="1" l="1"/>
  <c r="F182" i="1"/>
  <c r="D182" i="1"/>
  <c r="B183" i="1"/>
  <c r="O182" i="1"/>
  <c r="U182" i="1"/>
  <c r="C179" i="1"/>
  <c r="Y176" i="1"/>
  <c r="T183" i="1" l="1"/>
  <c r="F183" i="1"/>
  <c r="D183" i="1"/>
  <c r="B184" i="1"/>
  <c r="O183" i="1"/>
  <c r="U183" i="1"/>
  <c r="C180" i="1"/>
  <c r="Y177" i="1"/>
  <c r="T184" i="1" l="1"/>
  <c r="F184" i="1"/>
  <c r="D184" i="1"/>
  <c r="B185" i="1"/>
  <c r="O184" i="1"/>
  <c r="U184" i="1"/>
  <c r="C181" i="1"/>
  <c r="Y178" i="1"/>
  <c r="T185" i="1" l="1"/>
  <c r="F185" i="1"/>
  <c r="D185" i="1"/>
  <c r="B186" i="1"/>
  <c r="O185" i="1"/>
  <c r="U185" i="1"/>
  <c r="C182" i="1"/>
  <c r="Y179" i="1"/>
  <c r="T186" i="1" l="1"/>
  <c r="F186" i="1"/>
  <c r="D186" i="1"/>
  <c r="B187" i="1"/>
  <c r="O186" i="1"/>
  <c r="U186" i="1"/>
  <c r="C183" i="1"/>
  <c r="Y180" i="1"/>
  <c r="T187" i="1" l="1"/>
  <c r="F187" i="1"/>
  <c r="D187" i="1"/>
  <c r="B188" i="1"/>
  <c r="O187" i="1"/>
  <c r="U187" i="1"/>
  <c r="C184" i="1"/>
  <c r="Y181" i="1"/>
  <c r="T188" i="1" l="1"/>
  <c r="F188" i="1"/>
  <c r="D188" i="1"/>
  <c r="B189" i="1"/>
  <c r="O188" i="1"/>
  <c r="U188" i="1"/>
  <c r="C185" i="1"/>
  <c r="Y182" i="1"/>
  <c r="T189" i="1" l="1"/>
  <c r="F189" i="1"/>
  <c r="D189" i="1"/>
  <c r="B190" i="1"/>
  <c r="O189" i="1"/>
  <c r="U189" i="1"/>
  <c r="C186" i="1"/>
  <c r="Y183" i="1"/>
  <c r="T190" i="1" l="1"/>
  <c r="F190" i="1"/>
  <c r="D190" i="1"/>
  <c r="B191" i="1"/>
  <c r="O190" i="1"/>
  <c r="U190" i="1"/>
  <c r="C187" i="1"/>
  <c r="Y184" i="1"/>
  <c r="T191" i="1" l="1"/>
  <c r="F191" i="1"/>
  <c r="D191" i="1"/>
  <c r="B192" i="1"/>
  <c r="O191" i="1"/>
  <c r="U191" i="1"/>
  <c r="C188" i="1"/>
  <c r="Y185" i="1"/>
  <c r="T192" i="1" l="1"/>
  <c r="F192" i="1"/>
  <c r="D192" i="1"/>
  <c r="B193" i="1"/>
  <c r="O192" i="1"/>
  <c r="U192" i="1"/>
  <c r="C189" i="1"/>
  <c r="Y186" i="1"/>
  <c r="T193" i="1" l="1"/>
  <c r="F193" i="1"/>
  <c r="D193" i="1"/>
  <c r="B194" i="1"/>
  <c r="O193" i="1"/>
  <c r="U193" i="1"/>
  <c r="C190" i="1"/>
  <c r="Y187" i="1"/>
  <c r="T194" i="1" l="1"/>
  <c r="F194" i="1"/>
  <c r="D194" i="1"/>
  <c r="B195" i="1"/>
  <c r="O194" i="1"/>
  <c r="U194" i="1"/>
  <c r="C191" i="1"/>
  <c r="Y188" i="1"/>
  <c r="T195" i="1" l="1"/>
  <c r="F195" i="1"/>
  <c r="D195" i="1"/>
  <c r="B196" i="1"/>
  <c r="O195" i="1"/>
  <c r="U195" i="1"/>
  <c r="C192" i="1"/>
  <c r="Y189" i="1"/>
  <c r="T196" i="1" l="1"/>
  <c r="F196" i="1"/>
  <c r="D196" i="1"/>
  <c r="B197" i="1"/>
  <c r="O196" i="1"/>
  <c r="U196" i="1"/>
  <c r="C193" i="1"/>
  <c r="Y190" i="1"/>
  <c r="T197" i="1" l="1"/>
  <c r="F197" i="1"/>
  <c r="D197" i="1"/>
  <c r="B198" i="1"/>
  <c r="O197" i="1"/>
  <c r="U197" i="1"/>
  <c r="C194" i="1"/>
  <c r="Y191" i="1"/>
  <c r="T198" i="1" l="1"/>
  <c r="F198" i="1"/>
  <c r="D198" i="1"/>
  <c r="B199" i="1"/>
  <c r="O198" i="1"/>
  <c r="U198" i="1"/>
  <c r="C195" i="1"/>
  <c r="Y192" i="1"/>
  <c r="T199" i="1" l="1"/>
  <c r="F199" i="1"/>
  <c r="D199" i="1"/>
  <c r="B200" i="1"/>
  <c r="O199" i="1"/>
  <c r="U199" i="1"/>
  <c r="C196" i="1"/>
  <c r="Y193" i="1"/>
  <c r="T200" i="1" l="1"/>
  <c r="F200" i="1"/>
  <c r="D200" i="1"/>
  <c r="B201" i="1"/>
  <c r="O200" i="1"/>
  <c r="U200" i="1"/>
  <c r="C197" i="1"/>
  <c r="Y194" i="1"/>
  <c r="T201" i="1" l="1"/>
  <c r="F201" i="1"/>
  <c r="D201" i="1"/>
  <c r="B202" i="1"/>
  <c r="O201" i="1"/>
  <c r="U201" i="1"/>
  <c r="C198" i="1"/>
  <c r="Y195" i="1"/>
  <c r="T202" i="1" l="1"/>
  <c r="F202" i="1"/>
  <c r="D202" i="1"/>
  <c r="B203" i="1"/>
  <c r="O202" i="1"/>
  <c r="U202" i="1"/>
  <c r="C199" i="1"/>
  <c r="Y196" i="1"/>
  <c r="T203" i="1" l="1"/>
  <c r="F203" i="1"/>
  <c r="D203" i="1"/>
  <c r="B204" i="1"/>
  <c r="O203" i="1"/>
  <c r="U203" i="1"/>
  <c r="C200" i="1"/>
  <c r="Y197" i="1"/>
  <c r="T204" i="1" l="1"/>
  <c r="F204" i="1"/>
  <c r="D204" i="1"/>
  <c r="B205" i="1"/>
  <c r="O204" i="1"/>
  <c r="U204" i="1"/>
  <c r="C201" i="1"/>
  <c r="Y198" i="1"/>
  <c r="T205" i="1" l="1"/>
  <c r="F205" i="1"/>
  <c r="D205" i="1"/>
  <c r="B206" i="1"/>
  <c r="O205" i="1"/>
  <c r="U205" i="1"/>
  <c r="C202" i="1"/>
  <c r="Y199" i="1"/>
  <c r="T206" i="1" l="1"/>
  <c r="F206" i="1"/>
  <c r="D206" i="1"/>
  <c r="B207" i="1"/>
  <c r="O206" i="1"/>
  <c r="U206" i="1"/>
  <c r="C203" i="1"/>
  <c r="Y200" i="1"/>
  <c r="T207" i="1" l="1"/>
  <c r="F207" i="1"/>
  <c r="D207" i="1"/>
  <c r="B208" i="1"/>
  <c r="O207" i="1"/>
  <c r="U207" i="1"/>
  <c r="C204" i="1"/>
  <c r="Y201" i="1"/>
  <c r="T208" i="1" l="1"/>
  <c r="F208" i="1"/>
  <c r="D208" i="1"/>
  <c r="B209" i="1"/>
  <c r="O208" i="1"/>
  <c r="U208" i="1"/>
  <c r="C205" i="1"/>
  <c r="Y202" i="1"/>
  <c r="T209" i="1" l="1"/>
  <c r="F209" i="1"/>
  <c r="D209" i="1"/>
  <c r="B210" i="1"/>
  <c r="O209" i="1"/>
  <c r="U209" i="1"/>
  <c r="C206" i="1"/>
  <c r="Y203" i="1"/>
  <c r="T210" i="1" l="1"/>
  <c r="F210" i="1"/>
  <c r="D210" i="1"/>
  <c r="B211" i="1"/>
  <c r="O210" i="1"/>
  <c r="U210" i="1"/>
  <c r="C207" i="1"/>
  <c r="Y204" i="1"/>
  <c r="T211" i="1" l="1"/>
  <c r="F211" i="1"/>
  <c r="D211" i="1"/>
  <c r="B212" i="1"/>
  <c r="O211" i="1"/>
  <c r="U211" i="1"/>
  <c r="C208" i="1"/>
  <c r="Y205" i="1"/>
  <c r="T212" i="1" l="1"/>
  <c r="F212" i="1"/>
  <c r="D212" i="1"/>
  <c r="B213" i="1"/>
  <c r="O212" i="1"/>
  <c r="U212" i="1"/>
  <c r="C209" i="1"/>
  <c r="Y206" i="1"/>
  <c r="T213" i="1" l="1"/>
  <c r="F213" i="1"/>
  <c r="D213" i="1"/>
  <c r="B214" i="1"/>
  <c r="O213" i="1"/>
  <c r="U213" i="1"/>
  <c r="C210" i="1"/>
  <c r="Y207" i="1"/>
  <c r="T214" i="1" l="1"/>
  <c r="F214" i="1"/>
  <c r="D214" i="1"/>
  <c r="B215" i="1"/>
  <c r="O214" i="1"/>
  <c r="U214" i="1"/>
  <c r="C211" i="1"/>
  <c r="Y208" i="1"/>
  <c r="T215" i="1" l="1"/>
  <c r="F215" i="1"/>
  <c r="D215" i="1"/>
  <c r="B216" i="1"/>
  <c r="O215" i="1"/>
  <c r="U215" i="1"/>
  <c r="C212" i="1"/>
  <c r="Y209" i="1"/>
  <c r="T216" i="1" l="1"/>
  <c r="F216" i="1"/>
  <c r="D216" i="1"/>
  <c r="B217" i="1"/>
  <c r="O216" i="1"/>
  <c r="U216" i="1"/>
  <c r="C213" i="1"/>
  <c r="Y210" i="1"/>
  <c r="T217" i="1" l="1"/>
  <c r="F217" i="1"/>
  <c r="D217" i="1"/>
  <c r="B218" i="1"/>
  <c r="O217" i="1"/>
  <c r="U217" i="1"/>
  <c r="C214" i="1"/>
  <c r="Y211" i="1"/>
  <c r="T218" i="1" l="1"/>
  <c r="F218" i="1"/>
  <c r="D218" i="1"/>
  <c r="B219" i="1"/>
  <c r="O218" i="1"/>
  <c r="U218" i="1"/>
  <c r="C215" i="1"/>
  <c r="Y212" i="1"/>
  <c r="T219" i="1" l="1"/>
  <c r="F219" i="1"/>
  <c r="D219" i="1"/>
  <c r="B220" i="1"/>
  <c r="O219" i="1"/>
  <c r="U219" i="1"/>
  <c r="C216" i="1"/>
  <c r="Y213" i="1"/>
  <c r="T220" i="1" l="1"/>
  <c r="F220" i="1"/>
  <c r="D220" i="1"/>
  <c r="B221" i="1"/>
  <c r="O220" i="1"/>
  <c r="U220" i="1"/>
  <c r="C217" i="1"/>
  <c r="Y214" i="1"/>
  <c r="T221" i="1" l="1"/>
  <c r="F221" i="1"/>
  <c r="D221" i="1"/>
  <c r="B222" i="1"/>
  <c r="O221" i="1"/>
  <c r="U221" i="1"/>
  <c r="C218" i="1"/>
  <c r="Y215" i="1"/>
  <c r="T222" i="1" l="1"/>
  <c r="F222" i="1"/>
  <c r="D222" i="1"/>
  <c r="B223" i="1"/>
  <c r="O222" i="1"/>
  <c r="U222" i="1"/>
  <c r="C219" i="1"/>
  <c r="Y216" i="1"/>
  <c r="T223" i="1" l="1"/>
  <c r="F223" i="1"/>
  <c r="D223" i="1"/>
  <c r="B224" i="1"/>
  <c r="O223" i="1"/>
  <c r="U223" i="1"/>
  <c r="C220" i="1"/>
  <c r="Y217" i="1"/>
  <c r="T224" i="1" l="1"/>
  <c r="F224" i="1"/>
  <c r="D224" i="1"/>
  <c r="B225" i="1"/>
  <c r="O224" i="1"/>
  <c r="U224" i="1"/>
  <c r="C221" i="1"/>
  <c r="Y218" i="1"/>
  <c r="T225" i="1" l="1"/>
  <c r="F225" i="1"/>
  <c r="D225" i="1"/>
  <c r="B226" i="1"/>
  <c r="O225" i="1"/>
  <c r="U225" i="1"/>
  <c r="C222" i="1"/>
  <c r="Y219" i="1"/>
  <c r="T226" i="1" l="1"/>
  <c r="F226" i="1"/>
  <c r="D226" i="1"/>
  <c r="B227" i="1"/>
  <c r="O226" i="1"/>
  <c r="U226" i="1"/>
  <c r="C223" i="1"/>
  <c r="Y220" i="1"/>
  <c r="T227" i="1" l="1"/>
  <c r="F227" i="1"/>
  <c r="D227" i="1"/>
  <c r="B228" i="1"/>
  <c r="O227" i="1"/>
  <c r="U227" i="1"/>
  <c r="C224" i="1"/>
  <c r="Y221" i="1"/>
  <c r="T228" i="1" l="1"/>
  <c r="F228" i="1"/>
  <c r="D228" i="1"/>
  <c r="B229" i="1"/>
  <c r="O228" i="1"/>
  <c r="U228" i="1"/>
  <c r="C225" i="1"/>
  <c r="Y222" i="1"/>
  <c r="T229" i="1" l="1"/>
  <c r="F229" i="1"/>
  <c r="D229" i="1"/>
  <c r="B230" i="1"/>
  <c r="O229" i="1"/>
  <c r="U229" i="1"/>
  <c r="C226" i="1"/>
  <c r="Y223" i="1"/>
  <c r="T230" i="1" l="1"/>
  <c r="F230" i="1"/>
  <c r="D230" i="1"/>
  <c r="B231" i="1"/>
  <c r="O230" i="1"/>
  <c r="U230" i="1"/>
  <c r="C227" i="1"/>
  <c r="Y224" i="1"/>
  <c r="T231" i="1" l="1"/>
  <c r="F231" i="1"/>
  <c r="D231" i="1"/>
  <c r="B232" i="1"/>
  <c r="O231" i="1"/>
  <c r="U231" i="1"/>
  <c r="C228" i="1"/>
  <c r="Y225" i="1"/>
  <c r="T232" i="1" l="1"/>
  <c r="F232" i="1"/>
  <c r="D232" i="1"/>
  <c r="B233" i="1"/>
  <c r="O232" i="1"/>
  <c r="U232" i="1"/>
  <c r="C229" i="1"/>
  <c r="Y226" i="1"/>
  <c r="T233" i="1" l="1"/>
  <c r="F233" i="1"/>
  <c r="D233" i="1"/>
  <c r="B234" i="1"/>
  <c r="O233" i="1"/>
  <c r="U233" i="1"/>
  <c r="C230" i="1"/>
  <c r="Y227" i="1"/>
  <c r="T234" i="1" l="1"/>
  <c r="F234" i="1"/>
  <c r="D234" i="1"/>
  <c r="B235" i="1"/>
  <c r="O234" i="1"/>
  <c r="U234" i="1"/>
  <c r="C231" i="1"/>
  <c r="Y228" i="1"/>
  <c r="T235" i="1" l="1"/>
  <c r="F235" i="1"/>
  <c r="D235" i="1"/>
  <c r="B236" i="1"/>
  <c r="O235" i="1"/>
  <c r="U235" i="1"/>
  <c r="C232" i="1"/>
  <c r="Y229" i="1"/>
  <c r="T236" i="1" l="1"/>
  <c r="F236" i="1"/>
  <c r="D236" i="1"/>
  <c r="B237" i="1"/>
  <c r="O236" i="1"/>
  <c r="U236" i="1"/>
  <c r="C233" i="1"/>
  <c r="Y230" i="1"/>
  <c r="T237" i="1" l="1"/>
  <c r="F237" i="1"/>
  <c r="D237" i="1"/>
  <c r="B238" i="1"/>
  <c r="O237" i="1"/>
  <c r="U237" i="1"/>
  <c r="C234" i="1"/>
  <c r="Y231" i="1"/>
  <c r="T238" i="1" l="1"/>
  <c r="F238" i="1"/>
  <c r="D238" i="1"/>
  <c r="B239" i="1"/>
  <c r="O238" i="1"/>
  <c r="U238" i="1"/>
  <c r="C235" i="1"/>
  <c r="Y232" i="1"/>
  <c r="T239" i="1" l="1"/>
  <c r="F239" i="1"/>
  <c r="D239" i="1"/>
  <c r="B240" i="1"/>
  <c r="O239" i="1"/>
  <c r="U239" i="1"/>
  <c r="C236" i="1"/>
  <c r="Y233" i="1"/>
  <c r="T240" i="1" l="1"/>
  <c r="F240" i="1"/>
  <c r="D240" i="1"/>
  <c r="B241" i="1"/>
  <c r="O240" i="1"/>
  <c r="U240" i="1"/>
  <c r="C237" i="1"/>
  <c r="Y234" i="1"/>
  <c r="T241" i="1" l="1"/>
  <c r="F241" i="1"/>
  <c r="D241" i="1"/>
  <c r="B242" i="1"/>
  <c r="O241" i="1"/>
  <c r="U241" i="1"/>
  <c r="C238" i="1"/>
  <c r="Y235" i="1"/>
  <c r="T242" i="1" l="1"/>
  <c r="F242" i="1"/>
  <c r="D242" i="1"/>
  <c r="B243" i="1"/>
  <c r="O242" i="1"/>
  <c r="U242" i="1"/>
  <c r="C239" i="1"/>
  <c r="Y236" i="1"/>
  <c r="T243" i="1" l="1"/>
  <c r="F243" i="1"/>
  <c r="D243" i="1"/>
  <c r="B244" i="1"/>
  <c r="O243" i="1"/>
  <c r="U243" i="1"/>
  <c r="C240" i="1"/>
  <c r="Y237" i="1"/>
  <c r="T244" i="1" l="1"/>
  <c r="F244" i="1"/>
  <c r="D244" i="1"/>
  <c r="B245" i="1"/>
  <c r="O244" i="1"/>
  <c r="U244" i="1"/>
  <c r="C241" i="1"/>
  <c r="Y238" i="1"/>
  <c r="T245" i="1" l="1"/>
  <c r="F245" i="1"/>
  <c r="D245" i="1"/>
  <c r="B246" i="1"/>
  <c r="O245" i="1"/>
  <c r="U245" i="1"/>
  <c r="C242" i="1"/>
  <c r="Y239" i="1"/>
  <c r="T246" i="1" l="1"/>
  <c r="F246" i="1"/>
  <c r="D246" i="1"/>
  <c r="B247" i="1"/>
  <c r="O246" i="1"/>
  <c r="U246" i="1"/>
  <c r="C243" i="1"/>
  <c r="Y240" i="1"/>
  <c r="T247" i="1" l="1"/>
  <c r="F247" i="1"/>
  <c r="D247" i="1"/>
  <c r="B248" i="1"/>
  <c r="O247" i="1"/>
  <c r="U247" i="1"/>
  <c r="C244" i="1"/>
  <c r="Y241" i="1"/>
  <c r="T248" i="1" l="1"/>
  <c r="F248" i="1"/>
  <c r="D248" i="1"/>
  <c r="B249" i="1"/>
  <c r="O248" i="1"/>
  <c r="U248" i="1"/>
  <c r="C245" i="1"/>
  <c r="Y242" i="1"/>
  <c r="T249" i="1" l="1"/>
  <c r="F249" i="1"/>
  <c r="D249" i="1"/>
  <c r="B250" i="1"/>
  <c r="O249" i="1"/>
  <c r="U249" i="1"/>
  <c r="C246" i="1"/>
  <c r="Y243" i="1"/>
  <c r="T250" i="1" l="1"/>
  <c r="F250" i="1"/>
  <c r="D250" i="1"/>
  <c r="B251" i="1"/>
  <c r="O250" i="1"/>
  <c r="U250" i="1"/>
  <c r="C247" i="1"/>
  <c r="Y244" i="1"/>
  <c r="T251" i="1" l="1"/>
  <c r="F251" i="1"/>
  <c r="D251" i="1"/>
  <c r="B252" i="1"/>
  <c r="O251" i="1"/>
  <c r="U251" i="1"/>
  <c r="C248" i="1"/>
  <c r="Y245" i="1"/>
  <c r="T252" i="1" l="1"/>
  <c r="F252" i="1"/>
  <c r="D252" i="1"/>
  <c r="B253" i="1"/>
  <c r="O252" i="1"/>
  <c r="U252" i="1"/>
  <c r="C249" i="1"/>
  <c r="Y246" i="1"/>
  <c r="T253" i="1" l="1"/>
  <c r="F253" i="1"/>
  <c r="D253" i="1"/>
  <c r="B254" i="1"/>
  <c r="O253" i="1"/>
  <c r="U253" i="1"/>
  <c r="C250" i="1"/>
  <c r="Y247" i="1"/>
  <c r="T254" i="1" l="1"/>
  <c r="F254" i="1"/>
  <c r="D254" i="1"/>
  <c r="B255" i="1"/>
  <c r="O254" i="1"/>
  <c r="U254" i="1"/>
  <c r="C251" i="1"/>
  <c r="Y248" i="1"/>
  <c r="T255" i="1" l="1"/>
  <c r="F255" i="1"/>
  <c r="D255" i="1"/>
  <c r="B256" i="1"/>
  <c r="O255" i="1"/>
  <c r="U255" i="1"/>
  <c r="C252" i="1"/>
  <c r="Y249" i="1"/>
  <c r="T256" i="1" l="1"/>
  <c r="F256" i="1"/>
  <c r="D256" i="1"/>
  <c r="B257" i="1"/>
  <c r="O256" i="1"/>
  <c r="U256" i="1"/>
  <c r="C253" i="1"/>
  <c r="Y250" i="1"/>
  <c r="T257" i="1" l="1"/>
  <c r="F257" i="1"/>
  <c r="D257" i="1"/>
  <c r="B258" i="1"/>
  <c r="O257" i="1"/>
  <c r="U257" i="1"/>
  <c r="C254" i="1"/>
  <c r="Y251" i="1"/>
  <c r="T258" i="1" l="1"/>
  <c r="F258" i="1"/>
  <c r="D258" i="1"/>
  <c r="B259" i="1"/>
  <c r="O258" i="1"/>
  <c r="U258" i="1"/>
  <c r="C255" i="1"/>
  <c r="Y252" i="1"/>
  <c r="T259" i="1" l="1"/>
  <c r="F259" i="1"/>
  <c r="D259" i="1"/>
  <c r="B260" i="1"/>
  <c r="O259" i="1"/>
  <c r="U259" i="1"/>
  <c r="C256" i="1"/>
  <c r="Y253" i="1"/>
  <c r="T260" i="1" l="1"/>
  <c r="F260" i="1"/>
  <c r="D260" i="1"/>
  <c r="B261" i="1"/>
  <c r="O260" i="1"/>
  <c r="U260" i="1"/>
  <c r="C257" i="1"/>
  <c r="Y254" i="1"/>
  <c r="T261" i="1" l="1"/>
  <c r="F261" i="1"/>
  <c r="D261" i="1"/>
  <c r="B262" i="1"/>
  <c r="O261" i="1"/>
  <c r="U261" i="1"/>
  <c r="C258" i="1"/>
  <c r="Y255" i="1"/>
  <c r="T262" i="1" l="1"/>
  <c r="F262" i="1"/>
  <c r="D262" i="1"/>
  <c r="B263" i="1"/>
  <c r="O262" i="1"/>
  <c r="U262" i="1"/>
  <c r="C259" i="1"/>
  <c r="Y256" i="1"/>
  <c r="T263" i="1" l="1"/>
  <c r="F263" i="1"/>
  <c r="D263" i="1"/>
  <c r="B264" i="1"/>
  <c r="O263" i="1"/>
  <c r="U263" i="1"/>
  <c r="C260" i="1"/>
  <c r="Y257" i="1"/>
  <c r="T264" i="1" l="1"/>
  <c r="F264" i="1"/>
  <c r="D264" i="1"/>
  <c r="B265" i="1"/>
  <c r="O264" i="1"/>
  <c r="U264" i="1"/>
  <c r="C261" i="1"/>
  <c r="Y258" i="1"/>
  <c r="T265" i="1" l="1"/>
  <c r="F265" i="1"/>
  <c r="D265" i="1"/>
  <c r="B266" i="1"/>
  <c r="O265" i="1"/>
  <c r="U265" i="1"/>
  <c r="C262" i="1"/>
  <c r="Y259" i="1"/>
  <c r="T266" i="1" l="1"/>
  <c r="F266" i="1"/>
  <c r="D266" i="1"/>
  <c r="B267" i="1"/>
  <c r="O266" i="1"/>
  <c r="U266" i="1"/>
  <c r="C263" i="1"/>
  <c r="Y260" i="1"/>
  <c r="T267" i="1" l="1"/>
  <c r="F267" i="1"/>
  <c r="D267" i="1"/>
  <c r="B268" i="1"/>
  <c r="O267" i="1"/>
  <c r="U267" i="1"/>
  <c r="C264" i="1"/>
  <c r="Y261" i="1"/>
  <c r="T268" i="1" l="1"/>
  <c r="F268" i="1"/>
  <c r="D268" i="1"/>
  <c r="B269" i="1"/>
  <c r="O268" i="1"/>
  <c r="U268" i="1"/>
  <c r="C265" i="1"/>
  <c r="Y262" i="1"/>
  <c r="T269" i="1" l="1"/>
  <c r="F269" i="1"/>
  <c r="D269" i="1"/>
  <c r="B270" i="1"/>
  <c r="O269" i="1"/>
  <c r="U269" i="1"/>
  <c r="C266" i="1"/>
  <c r="Y263" i="1"/>
  <c r="T270" i="1" l="1"/>
  <c r="F270" i="1"/>
  <c r="D270" i="1"/>
  <c r="B271" i="1"/>
  <c r="O270" i="1"/>
  <c r="U270" i="1"/>
  <c r="C267" i="1"/>
  <c r="Y264" i="1"/>
  <c r="T271" i="1" l="1"/>
  <c r="F271" i="1"/>
  <c r="D271" i="1"/>
  <c r="B272" i="1"/>
  <c r="O271" i="1"/>
  <c r="U271" i="1"/>
  <c r="C268" i="1"/>
  <c r="Y265" i="1"/>
  <c r="T272" i="1" l="1"/>
  <c r="F272" i="1"/>
  <c r="D272" i="1"/>
  <c r="B273" i="1"/>
  <c r="O272" i="1"/>
  <c r="U272" i="1"/>
  <c r="C269" i="1"/>
  <c r="Y266" i="1"/>
  <c r="T273" i="1" l="1"/>
  <c r="F273" i="1"/>
  <c r="D273" i="1"/>
  <c r="B274" i="1"/>
  <c r="O273" i="1"/>
  <c r="U273" i="1"/>
  <c r="C270" i="1"/>
  <c r="Y267" i="1"/>
  <c r="T274" i="1" l="1"/>
  <c r="F274" i="1"/>
  <c r="D274" i="1"/>
  <c r="B275" i="1"/>
  <c r="O274" i="1"/>
  <c r="U274" i="1"/>
  <c r="C271" i="1"/>
  <c r="Y268" i="1"/>
  <c r="T275" i="1" l="1"/>
  <c r="F275" i="1"/>
  <c r="D275" i="1"/>
  <c r="B276" i="1"/>
  <c r="O275" i="1"/>
  <c r="U275" i="1"/>
  <c r="C272" i="1"/>
  <c r="Y269" i="1"/>
  <c r="T276" i="1" l="1"/>
  <c r="F276" i="1"/>
  <c r="D276" i="1"/>
  <c r="B277" i="1"/>
  <c r="O276" i="1"/>
  <c r="U276" i="1"/>
  <c r="C273" i="1"/>
  <c r="Y270" i="1"/>
  <c r="T277" i="1" l="1"/>
  <c r="F277" i="1"/>
  <c r="D277" i="1"/>
  <c r="B278" i="1"/>
  <c r="O277" i="1"/>
  <c r="U277" i="1"/>
  <c r="C274" i="1"/>
  <c r="Y271" i="1"/>
  <c r="T278" i="1" l="1"/>
  <c r="F278" i="1"/>
  <c r="D278" i="1"/>
  <c r="B279" i="1"/>
  <c r="O278" i="1"/>
  <c r="U278" i="1"/>
  <c r="C275" i="1"/>
  <c r="Y272" i="1"/>
  <c r="T279" i="1" l="1"/>
  <c r="F279" i="1"/>
  <c r="D279" i="1"/>
  <c r="B280" i="1"/>
  <c r="O279" i="1"/>
  <c r="U279" i="1"/>
  <c r="C276" i="1"/>
  <c r="Y273" i="1"/>
  <c r="T280" i="1" l="1"/>
  <c r="F280" i="1"/>
  <c r="D280" i="1"/>
  <c r="B281" i="1"/>
  <c r="O280" i="1"/>
  <c r="U280" i="1"/>
  <c r="C277" i="1"/>
  <c r="Y274" i="1"/>
  <c r="T281" i="1" l="1"/>
  <c r="F281" i="1"/>
  <c r="D281" i="1"/>
  <c r="B282" i="1"/>
  <c r="O281" i="1"/>
  <c r="U281" i="1"/>
  <c r="C278" i="1"/>
  <c r="Y275" i="1"/>
  <c r="T282" i="1" l="1"/>
  <c r="F282" i="1"/>
  <c r="D282" i="1"/>
  <c r="B283" i="1"/>
  <c r="O282" i="1"/>
  <c r="U282" i="1"/>
  <c r="C279" i="1"/>
  <c r="Y276" i="1"/>
  <c r="T283" i="1" l="1"/>
  <c r="F283" i="1"/>
  <c r="D283" i="1"/>
  <c r="B284" i="1"/>
  <c r="O283" i="1"/>
  <c r="U283" i="1"/>
  <c r="C280" i="1"/>
  <c r="Y277" i="1"/>
  <c r="T284" i="1" l="1"/>
  <c r="F284" i="1"/>
  <c r="D284" i="1"/>
  <c r="B285" i="1"/>
  <c r="O284" i="1"/>
  <c r="U284" i="1"/>
  <c r="C281" i="1"/>
  <c r="Y278" i="1"/>
  <c r="T285" i="1" l="1"/>
  <c r="F285" i="1"/>
  <c r="D285" i="1"/>
  <c r="B286" i="1"/>
  <c r="O285" i="1"/>
  <c r="U285" i="1"/>
  <c r="C282" i="1"/>
  <c r="Y279" i="1"/>
  <c r="T286" i="1" l="1"/>
  <c r="F286" i="1"/>
  <c r="D286" i="1"/>
  <c r="B287" i="1"/>
  <c r="O286" i="1"/>
  <c r="U286" i="1"/>
  <c r="C283" i="1"/>
  <c r="Y280" i="1"/>
  <c r="T287" i="1" l="1"/>
  <c r="F287" i="1"/>
  <c r="D287" i="1"/>
  <c r="B288" i="1"/>
  <c r="O287" i="1"/>
  <c r="U287" i="1"/>
  <c r="C284" i="1"/>
  <c r="Y281" i="1"/>
  <c r="T288" i="1" l="1"/>
  <c r="F288" i="1"/>
  <c r="D288" i="1"/>
  <c r="B289" i="1"/>
  <c r="O288" i="1"/>
  <c r="U288" i="1"/>
  <c r="C285" i="1"/>
  <c r="Y282" i="1"/>
  <c r="T289" i="1" l="1"/>
  <c r="F289" i="1"/>
  <c r="D289" i="1"/>
  <c r="B290" i="1"/>
  <c r="O289" i="1"/>
  <c r="U289" i="1"/>
  <c r="C286" i="1"/>
  <c r="Y283" i="1"/>
  <c r="T290" i="1" l="1"/>
  <c r="F290" i="1"/>
  <c r="D290" i="1"/>
  <c r="B291" i="1"/>
  <c r="O290" i="1"/>
  <c r="U290" i="1"/>
  <c r="C287" i="1"/>
  <c r="Y284" i="1"/>
  <c r="T291" i="1" l="1"/>
  <c r="F291" i="1"/>
  <c r="D291" i="1"/>
  <c r="B292" i="1"/>
  <c r="O291" i="1"/>
  <c r="U291" i="1"/>
  <c r="C288" i="1"/>
  <c r="Y285" i="1"/>
  <c r="T292" i="1" l="1"/>
  <c r="F292" i="1"/>
  <c r="D292" i="1"/>
  <c r="B293" i="1"/>
  <c r="O292" i="1"/>
  <c r="U292" i="1"/>
  <c r="C289" i="1"/>
  <c r="Y286" i="1"/>
  <c r="T293" i="1" l="1"/>
  <c r="F293" i="1"/>
  <c r="D293" i="1"/>
  <c r="B294" i="1"/>
  <c r="O293" i="1"/>
  <c r="U293" i="1"/>
  <c r="C290" i="1"/>
  <c r="Y287" i="1"/>
  <c r="T294" i="1" l="1"/>
  <c r="F294" i="1"/>
  <c r="D294" i="1"/>
  <c r="B295" i="1"/>
  <c r="O294" i="1"/>
  <c r="U294" i="1"/>
  <c r="C291" i="1"/>
  <c r="Y288" i="1"/>
  <c r="T295" i="1" l="1"/>
  <c r="F295" i="1"/>
  <c r="D295" i="1"/>
  <c r="B296" i="1"/>
  <c r="O295" i="1"/>
  <c r="U295" i="1"/>
  <c r="C292" i="1"/>
  <c r="Y289" i="1"/>
  <c r="T296" i="1" l="1"/>
  <c r="F296" i="1"/>
  <c r="D296" i="1"/>
  <c r="B297" i="1"/>
  <c r="O296" i="1"/>
  <c r="U296" i="1"/>
  <c r="C293" i="1"/>
  <c r="Y290" i="1"/>
  <c r="T297" i="1" l="1"/>
  <c r="F297" i="1"/>
  <c r="D297" i="1"/>
  <c r="B298" i="1"/>
  <c r="O297" i="1"/>
  <c r="U297" i="1"/>
  <c r="C294" i="1"/>
  <c r="Y291" i="1"/>
  <c r="T298" i="1" l="1"/>
  <c r="F298" i="1"/>
  <c r="D298" i="1"/>
  <c r="B299" i="1"/>
  <c r="O298" i="1"/>
  <c r="U298" i="1"/>
  <c r="C295" i="1"/>
  <c r="Y292" i="1"/>
  <c r="T299" i="1" l="1"/>
  <c r="F299" i="1"/>
  <c r="D299" i="1"/>
  <c r="B300" i="1"/>
  <c r="O299" i="1"/>
  <c r="U299" i="1"/>
  <c r="C296" i="1"/>
  <c r="Y293" i="1"/>
  <c r="T300" i="1" l="1"/>
  <c r="F300" i="1"/>
  <c r="D300" i="1"/>
  <c r="B301" i="1"/>
  <c r="O300" i="1"/>
  <c r="U300" i="1"/>
  <c r="C297" i="1"/>
  <c r="Y294" i="1"/>
  <c r="T301" i="1" l="1"/>
  <c r="F301" i="1"/>
  <c r="D301" i="1"/>
  <c r="B302" i="1"/>
  <c r="O301" i="1"/>
  <c r="U301" i="1"/>
  <c r="C298" i="1"/>
  <c r="Y295" i="1"/>
  <c r="T302" i="1" l="1"/>
  <c r="F302" i="1"/>
  <c r="D302" i="1"/>
  <c r="B303" i="1"/>
  <c r="O302" i="1"/>
  <c r="U302" i="1"/>
  <c r="C299" i="1"/>
  <c r="Y296" i="1"/>
  <c r="T303" i="1" l="1"/>
  <c r="F303" i="1"/>
  <c r="D303" i="1"/>
  <c r="B304" i="1"/>
  <c r="O303" i="1"/>
  <c r="U303" i="1"/>
  <c r="C300" i="1"/>
  <c r="Y297" i="1"/>
  <c r="T304" i="1" l="1"/>
  <c r="F304" i="1"/>
  <c r="D304" i="1"/>
  <c r="B305" i="1"/>
  <c r="O304" i="1"/>
  <c r="U304" i="1"/>
  <c r="C301" i="1"/>
  <c r="Y298" i="1"/>
  <c r="T305" i="1" l="1"/>
  <c r="F305" i="1"/>
  <c r="D305" i="1"/>
  <c r="B306" i="1"/>
  <c r="O305" i="1"/>
  <c r="U305" i="1"/>
  <c r="C302" i="1"/>
  <c r="Y299" i="1"/>
  <c r="T306" i="1" l="1"/>
  <c r="F306" i="1"/>
  <c r="D306" i="1"/>
  <c r="B307" i="1"/>
  <c r="O306" i="1"/>
  <c r="U306" i="1"/>
  <c r="C303" i="1"/>
  <c r="Y300" i="1"/>
  <c r="T307" i="1" l="1"/>
  <c r="F307" i="1"/>
  <c r="D307" i="1"/>
  <c r="B308" i="1"/>
  <c r="O307" i="1"/>
  <c r="U307" i="1"/>
  <c r="C304" i="1"/>
  <c r="Y301" i="1"/>
  <c r="T308" i="1" l="1"/>
  <c r="F308" i="1"/>
  <c r="D308" i="1"/>
  <c r="B309" i="1"/>
  <c r="O308" i="1"/>
  <c r="U308" i="1"/>
  <c r="C305" i="1"/>
  <c r="Y302" i="1"/>
  <c r="T309" i="1" l="1"/>
  <c r="F309" i="1"/>
  <c r="D309" i="1"/>
  <c r="B310" i="1"/>
  <c r="O309" i="1"/>
  <c r="U309" i="1"/>
  <c r="C306" i="1"/>
  <c r="Y303" i="1"/>
  <c r="T310" i="1" l="1"/>
  <c r="F310" i="1"/>
  <c r="D310" i="1"/>
  <c r="B311" i="1"/>
  <c r="O310" i="1"/>
  <c r="U310" i="1"/>
  <c r="C307" i="1"/>
  <c r="Y304" i="1"/>
  <c r="T311" i="1" l="1"/>
  <c r="F311" i="1"/>
  <c r="D311" i="1"/>
  <c r="B312" i="1"/>
  <c r="O311" i="1"/>
  <c r="U311" i="1"/>
  <c r="C308" i="1"/>
  <c r="Y305" i="1"/>
  <c r="T312" i="1" l="1"/>
  <c r="F312" i="1"/>
  <c r="D312" i="1"/>
  <c r="B313" i="1"/>
  <c r="O312" i="1"/>
  <c r="U312" i="1"/>
  <c r="C309" i="1"/>
  <c r="Y306" i="1"/>
  <c r="T313" i="1" l="1"/>
  <c r="F313" i="1"/>
  <c r="D313" i="1"/>
  <c r="B314" i="1"/>
  <c r="O313" i="1"/>
  <c r="U313" i="1"/>
  <c r="C310" i="1"/>
  <c r="Y307" i="1"/>
  <c r="T314" i="1" l="1"/>
  <c r="F314" i="1"/>
  <c r="D314" i="1"/>
  <c r="B315" i="1"/>
  <c r="O314" i="1"/>
  <c r="U314" i="1"/>
  <c r="C311" i="1"/>
  <c r="Y308" i="1"/>
  <c r="T315" i="1" l="1"/>
  <c r="F315" i="1"/>
  <c r="D315" i="1"/>
  <c r="B316" i="1"/>
  <c r="O315" i="1"/>
  <c r="U315" i="1"/>
  <c r="C312" i="1"/>
  <c r="Y309" i="1"/>
  <c r="T316" i="1" l="1"/>
  <c r="F316" i="1"/>
  <c r="D316" i="1"/>
  <c r="B317" i="1"/>
  <c r="O316" i="1"/>
  <c r="U316" i="1"/>
  <c r="C313" i="1"/>
  <c r="Y310" i="1"/>
  <c r="T317" i="1" l="1"/>
  <c r="F317" i="1"/>
  <c r="D317" i="1"/>
  <c r="B318" i="1"/>
  <c r="O317" i="1"/>
  <c r="U317" i="1"/>
  <c r="C314" i="1"/>
  <c r="Y311" i="1"/>
  <c r="T318" i="1" l="1"/>
  <c r="F318" i="1"/>
  <c r="D318" i="1"/>
  <c r="B319" i="1"/>
  <c r="O318" i="1"/>
  <c r="U318" i="1"/>
  <c r="C315" i="1"/>
  <c r="Y312" i="1"/>
  <c r="T319" i="1" l="1"/>
  <c r="F319" i="1"/>
  <c r="D319" i="1"/>
  <c r="B320" i="1"/>
  <c r="O319" i="1"/>
  <c r="U319" i="1"/>
  <c r="C316" i="1"/>
  <c r="Y313" i="1"/>
  <c r="T320" i="1" l="1"/>
  <c r="F320" i="1"/>
  <c r="D320" i="1"/>
  <c r="B321" i="1"/>
  <c r="O320" i="1"/>
  <c r="U320" i="1"/>
  <c r="C317" i="1"/>
  <c r="Y314" i="1"/>
  <c r="T321" i="1" l="1"/>
  <c r="F321" i="1"/>
  <c r="D321" i="1"/>
  <c r="B322" i="1"/>
  <c r="O321" i="1"/>
  <c r="U321" i="1"/>
  <c r="C318" i="1"/>
  <c r="Y315" i="1"/>
  <c r="T322" i="1" l="1"/>
  <c r="F322" i="1"/>
  <c r="D322" i="1"/>
  <c r="B323" i="1"/>
  <c r="O322" i="1"/>
  <c r="U322" i="1"/>
  <c r="C319" i="1"/>
  <c r="Y316" i="1"/>
  <c r="T323" i="1" l="1"/>
  <c r="F323" i="1"/>
  <c r="D323" i="1"/>
  <c r="B324" i="1"/>
  <c r="O323" i="1"/>
  <c r="U323" i="1"/>
  <c r="C320" i="1"/>
  <c r="Y317" i="1"/>
  <c r="T324" i="1" l="1"/>
  <c r="F324" i="1"/>
  <c r="D324" i="1"/>
  <c r="B325" i="1"/>
  <c r="O324" i="1"/>
  <c r="U324" i="1"/>
  <c r="C321" i="1"/>
  <c r="Y318" i="1"/>
  <c r="T325" i="1" l="1"/>
  <c r="F325" i="1"/>
  <c r="D325" i="1"/>
  <c r="B326" i="1"/>
  <c r="O325" i="1"/>
  <c r="U325" i="1"/>
  <c r="C322" i="1"/>
  <c r="Y319" i="1"/>
  <c r="T326" i="1" l="1"/>
  <c r="F326" i="1"/>
  <c r="D326" i="1"/>
  <c r="B327" i="1"/>
  <c r="O326" i="1"/>
  <c r="U326" i="1"/>
  <c r="C323" i="1"/>
  <c r="Y320" i="1"/>
  <c r="T327" i="1" l="1"/>
  <c r="F327" i="1"/>
  <c r="D327" i="1"/>
  <c r="B328" i="1"/>
  <c r="O327" i="1"/>
  <c r="U327" i="1"/>
  <c r="C324" i="1"/>
  <c r="Y321" i="1"/>
  <c r="T328" i="1" l="1"/>
  <c r="F328" i="1"/>
  <c r="D328" i="1"/>
  <c r="B329" i="1"/>
  <c r="O328" i="1"/>
  <c r="U328" i="1"/>
  <c r="C325" i="1"/>
  <c r="Y322" i="1"/>
  <c r="T329" i="1" l="1"/>
  <c r="F329" i="1"/>
  <c r="D329" i="1"/>
  <c r="B330" i="1"/>
  <c r="O329" i="1"/>
  <c r="U329" i="1"/>
  <c r="C326" i="1"/>
  <c r="Y323" i="1"/>
  <c r="T330" i="1" l="1"/>
  <c r="F330" i="1"/>
  <c r="D330" i="1"/>
  <c r="B331" i="1"/>
  <c r="O330" i="1"/>
  <c r="U330" i="1"/>
  <c r="C327" i="1"/>
  <c r="Y324" i="1"/>
  <c r="T331" i="1" l="1"/>
  <c r="F331" i="1"/>
  <c r="D331" i="1"/>
  <c r="B332" i="1"/>
  <c r="O331" i="1"/>
  <c r="U331" i="1"/>
  <c r="C328" i="1"/>
  <c r="Y325" i="1"/>
  <c r="T332" i="1" l="1"/>
  <c r="F332" i="1"/>
  <c r="D332" i="1"/>
  <c r="B333" i="1"/>
  <c r="O332" i="1"/>
  <c r="U332" i="1"/>
  <c r="C329" i="1"/>
  <c r="Y326" i="1"/>
  <c r="T333" i="1" l="1"/>
  <c r="F333" i="1"/>
  <c r="D333" i="1"/>
  <c r="B334" i="1"/>
  <c r="O333" i="1"/>
  <c r="U333" i="1"/>
  <c r="C330" i="1"/>
  <c r="Y327" i="1"/>
  <c r="T334" i="1" l="1"/>
  <c r="F334" i="1"/>
  <c r="D334" i="1"/>
  <c r="B335" i="1"/>
  <c r="O334" i="1"/>
  <c r="U334" i="1"/>
  <c r="C331" i="1"/>
  <c r="Y328" i="1"/>
  <c r="T335" i="1" l="1"/>
  <c r="F335" i="1"/>
  <c r="D335" i="1"/>
  <c r="B336" i="1"/>
  <c r="O335" i="1"/>
  <c r="U335" i="1"/>
  <c r="C332" i="1"/>
  <c r="Y329" i="1"/>
  <c r="T336" i="1" l="1"/>
  <c r="F336" i="1"/>
  <c r="D336" i="1"/>
  <c r="B337" i="1"/>
  <c r="O336" i="1"/>
  <c r="U336" i="1"/>
  <c r="C333" i="1"/>
  <c r="Y330" i="1"/>
  <c r="T337" i="1" l="1"/>
  <c r="F337" i="1"/>
  <c r="D337" i="1"/>
  <c r="B338" i="1"/>
  <c r="O337" i="1"/>
  <c r="U337" i="1"/>
  <c r="C334" i="1"/>
  <c r="Y331" i="1"/>
  <c r="T338" i="1" l="1"/>
  <c r="F338" i="1"/>
  <c r="D338" i="1"/>
  <c r="B339" i="1"/>
  <c r="O338" i="1"/>
  <c r="U338" i="1"/>
  <c r="C335" i="1"/>
  <c r="Y332" i="1"/>
  <c r="T339" i="1" l="1"/>
  <c r="F339" i="1"/>
  <c r="D339" i="1"/>
  <c r="B340" i="1"/>
  <c r="O339" i="1"/>
  <c r="U339" i="1"/>
  <c r="C336" i="1"/>
  <c r="Y333" i="1"/>
  <c r="T340" i="1" l="1"/>
  <c r="F340" i="1"/>
  <c r="D340" i="1"/>
  <c r="B341" i="1"/>
  <c r="O340" i="1"/>
  <c r="U340" i="1"/>
  <c r="C337" i="1"/>
  <c r="Y334" i="1"/>
  <c r="T341" i="1" l="1"/>
  <c r="F341" i="1"/>
  <c r="D341" i="1"/>
  <c r="B342" i="1"/>
  <c r="O341" i="1"/>
  <c r="U341" i="1"/>
  <c r="C338" i="1"/>
  <c r="Y335" i="1"/>
  <c r="T342" i="1" l="1"/>
  <c r="F342" i="1"/>
  <c r="D342" i="1"/>
  <c r="B343" i="1"/>
  <c r="O342" i="1"/>
  <c r="U342" i="1"/>
  <c r="C339" i="1"/>
  <c r="Y336" i="1"/>
  <c r="T343" i="1" l="1"/>
  <c r="F343" i="1"/>
  <c r="D343" i="1"/>
  <c r="B344" i="1"/>
  <c r="O343" i="1"/>
  <c r="U343" i="1"/>
  <c r="C340" i="1"/>
  <c r="Y337" i="1"/>
  <c r="T344" i="1" l="1"/>
  <c r="F344" i="1"/>
  <c r="D344" i="1"/>
  <c r="B345" i="1"/>
  <c r="O344" i="1"/>
  <c r="U344" i="1"/>
  <c r="C341" i="1"/>
  <c r="Y338" i="1"/>
  <c r="T345" i="1" l="1"/>
  <c r="F345" i="1"/>
  <c r="D345" i="1"/>
  <c r="B346" i="1"/>
  <c r="O345" i="1"/>
  <c r="U345" i="1"/>
  <c r="C342" i="1"/>
  <c r="Y339" i="1"/>
  <c r="T346" i="1" l="1"/>
  <c r="F346" i="1"/>
  <c r="D346" i="1"/>
  <c r="B347" i="1"/>
  <c r="O346" i="1"/>
  <c r="U346" i="1"/>
  <c r="C343" i="1"/>
  <c r="Y340" i="1"/>
  <c r="T347" i="1" l="1"/>
  <c r="F347" i="1"/>
  <c r="D347" i="1"/>
  <c r="B348" i="1"/>
  <c r="O347" i="1"/>
  <c r="U347" i="1"/>
  <c r="C344" i="1"/>
  <c r="Y341" i="1"/>
  <c r="T348" i="1" l="1"/>
  <c r="F348" i="1"/>
  <c r="D348" i="1"/>
  <c r="B349" i="1"/>
  <c r="O348" i="1"/>
  <c r="U348" i="1"/>
  <c r="C345" i="1"/>
  <c r="Y342" i="1"/>
  <c r="T349" i="1" l="1"/>
  <c r="F349" i="1"/>
  <c r="D349" i="1"/>
  <c r="B350" i="1"/>
  <c r="O349" i="1"/>
  <c r="U349" i="1"/>
  <c r="C346" i="1"/>
  <c r="Y343" i="1"/>
  <c r="T350" i="1" l="1"/>
  <c r="F350" i="1"/>
  <c r="D350" i="1"/>
  <c r="B351" i="1"/>
  <c r="O350" i="1"/>
  <c r="U350" i="1"/>
  <c r="C347" i="1"/>
  <c r="Y344" i="1"/>
  <c r="T351" i="1" l="1"/>
  <c r="F351" i="1"/>
  <c r="D351" i="1"/>
  <c r="B352" i="1"/>
  <c r="O351" i="1"/>
  <c r="U351" i="1"/>
  <c r="C348" i="1"/>
  <c r="Y345" i="1"/>
  <c r="T352" i="1" l="1"/>
  <c r="F352" i="1"/>
  <c r="D352" i="1"/>
  <c r="B353" i="1"/>
  <c r="O352" i="1"/>
  <c r="U352" i="1"/>
  <c r="C349" i="1"/>
  <c r="Y346" i="1"/>
  <c r="T353" i="1" l="1"/>
  <c r="F353" i="1"/>
  <c r="D353" i="1"/>
  <c r="B354" i="1"/>
  <c r="O353" i="1"/>
  <c r="U353" i="1"/>
  <c r="C350" i="1"/>
  <c r="Y347" i="1"/>
  <c r="T354" i="1" l="1"/>
  <c r="F354" i="1"/>
  <c r="D354" i="1"/>
  <c r="B355" i="1"/>
  <c r="O354" i="1"/>
  <c r="U354" i="1"/>
  <c r="C351" i="1"/>
  <c r="Y348" i="1"/>
  <c r="T355" i="1" l="1"/>
  <c r="F355" i="1"/>
  <c r="D355" i="1"/>
  <c r="B356" i="1"/>
  <c r="O355" i="1"/>
  <c r="U355" i="1"/>
  <c r="C352" i="1"/>
  <c r="Y349" i="1"/>
  <c r="T356" i="1" l="1"/>
  <c r="F356" i="1"/>
  <c r="D356" i="1"/>
  <c r="B357" i="1"/>
  <c r="O356" i="1"/>
  <c r="U356" i="1"/>
  <c r="C353" i="1"/>
  <c r="Y350" i="1"/>
  <c r="T357" i="1" l="1"/>
  <c r="F357" i="1"/>
  <c r="D357" i="1"/>
  <c r="B358" i="1"/>
  <c r="O357" i="1"/>
  <c r="U357" i="1"/>
  <c r="C354" i="1"/>
  <c r="Y351" i="1"/>
  <c r="T358" i="1" l="1"/>
  <c r="F358" i="1"/>
  <c r="D358" i="1"/>
  <c r="B359" i="1"/>
  <c r="O358" i="1"/>
  <c r="U358" i="1"/>
  <c r="C355" i="1"/>
  <c r="Y352" i="1"/>
  <c r="T359" i="1" l="1"/>
  <c r="F359" i="1"/>
  <c r="D359" i="1"/>
  <c r="B360" i="1"/>
  <c r="O359" i="1"/>
  <c r="U359" i="1"/>
  <c r="C356" i="1"/>
  <c r="Y353" i="1"/>
  <c r="T360" i="1" l="1"/>
  <c r="F360" i="1"/>
  <c r="D360" i="1"/>
  <c r="B361" i="1"/>
  <c r="O360" i="1"/>
  <c r="U360" i="1"/>
  <c r="C357" i="1"/>
  <c r="Y354" i="1"/>
  <c r="T361" i="1" l="1"/>
  <c r="F361" i="1"/>
  <c r="D361" i="1"/>
  <c r="B362" i="1"/>
  <c r="O361" i="1"/>
  <c r="U361" i="1"/>
  <c r="C358" i="1"/>
  <c r="Y355" i="1"/>
  <c r="T362" i="1" l="1"/>
  <c r="F362" i="1"/>
  <c r="D362" i="1"/>
  <c r="B363" i="1"/>
  <c r="O362" i="1"/>
  <c r="U362" i="1"/>
  <c r="C359" i="1"/>
  <c r="Y356" i="1"/>
  <c r="T363" i="1" l="1"/>
  <c r="F363" i="1"/>
  <c r="D363" i="1"/>
  <c r="B364" i="1"/>
  <c r="O363" i="1"/>
  <c r="U363" i="1"/>
  <c r="C360" i="1"/>
  <c r="Y357" i="1"/>
  <c r="T364" i="1" l="1"/>
  <c r="F364" i="1"/>
  <c r="D364" i="1"/>
  <c r="B365" i="1"/>
  <c r="O364" i="1"/>
  <c r="U364" i="1"/>
  <c r="C361" i="1"/>
  <c r="Y358" i="1"/>
  <c r="T365" i="1" l="1"/>
  <c r="F365" i="1"/>
  <c r="D365" i="1"/>
  <c r="B366" i="1"/>
  <c r="O365" i="1"/>
  <c r="U365" i="1"/>
  <c r="C362" i="1"/>
  <c r="Y359" i="1"/>
  <c r="T366" i="1" l="1"/>
  <c r="F366" i="1"/>
  <c r="D366" i="1"/>
  <c r="B367" i="1"/>
  <c r="O366" i="1"/>
  <c r="U366" i="1"/>
  <c r="C363" i="1"/>
  <c r="Y360" i="1"/>
  <c r="T367" i="1" l="1"/>
  <c r="F367" i="1"/>
  <c r="D367" i="1"/>
  <c r="B368" i="1"/>
  <c r="O367" i="1"/>
  <c r="U367" i="1"/>
  <c r="C364" i="1"/>
  <c r="Y361" i="1"/>
  <c r="T368" i="1" l="1"/>
  <c r="F368" i="1"/>
  <c r="D368" i="1"/>
  <c r="B369" i="1"/>
  <c r="O368" i="1"/>
  <c r="U368" i="1"/>
  <c r="C365" i="1"/>
  <c r="Y362" i="1"/>
  <c r="T369" i="1" l="1"/>
  <c r="F369" i="1"/>
  <c r="D369" i="1"/>
  <c r="B370" i="1"/>
  <c r="O369" i="1"/>
  <c r="U369" i="1"/>
  <c r="C366" i="1"/>
  <c r="Y363" i="1"/>
  <c r="T370" i="1" l="1"/>
  <c r="F370" i="1"/>
  <c r="D370" i="1"/>
  <c r="B371" i="1"/>
  <c r="O370" i="1"/>
  <c r="U370" i="1"/>
  <c r="C367" i="1"/>
  <c r="Y364" i="1"/>
  <c r="T371" i="1" l="1"/>
  <c r="F371" i="1"/>
  <c r="D371" i="1"/>
  <c r="B372" i="1"/>
  <c r="O371" i="1"/>
  <c r="U371" i="1"/>
  <c r="C368" i="1"/>
  <c r="Y365" i="1"/>
  <c r="T372" i="1" l="1"/>
  <c r="F372" i="1"/>
  <c r="D372" i="1"/>
  <c r="B373" i="1"/>
  <c r="O372" i="1"/>
  <c r="U372" i="1"/>
  <c r="C369" i="1"/>
  <c r="Y366" i="1"/>
  <c r="T373" i="1" l="1"/>
  <c r="F373" i="1"/>
  <c r="D373" i="1"/>
  <c r="B374" i="1"/>
  <c r="O373" i="1"/>
  <c r="U373" i="1"/>
  <c r="C370" i="1"/>
  <c r="Y367" i="1"/>
  <c r="T374" i="1" l="1"/>
  <c r="F374" i="1"/>
  <c r="D374" i="1"/>
  <c r="B375" i="1"/>
  <c r="O374" i="1"/>
  <c r="U374" i="1"/>
  <c r="C371" i="1"/>
  <c r="Y368" i="1"/>
  <c r="T375" i="1" l="1"/>
  <c r="F375" i="1"/>
  <c r="D375" i="1"/>
  <c r="B376" i="1"/>
  <c r="O375" i="1"/>
  <c r="U375" i="1"/>
  <c r="C372" i="1"/>
  <c r="Y369" i="1"/>
  <c r="T376" i="1" l="1"/>
  <c r="F376" i="1"/>
  <c r="D376" i="1"/>
  <c r="B377" i="1"/>
  <c r="O376" i="1"/>
  <c r="U376" i="1"/>
  <c r="C373" i="1"/>
  <c r="Y370" i="1"/>
  <c r="T377" i="1" l="1"/>
  <c r="F377" i="1"/>
  <c r="D377" i="1"/>
  <c r="B378" i="1"/>
  <c r="O377" i="1"/>
  <c r="U377" i="1"/>
  <c r="C374" i="1"/>
  <c r="Y371" i="1"/>
  <c r="T378" i="1" l="1"/>
  <c r="F378" i="1"/>
  <c r="D378" i="1"/>
  <c r="B379" i="1"/>
  <c r="O378" i="1"/>
  <c r="U378" i="1"/>
  <c r="C375" i="1"/>
  <c r="Y372" i="1"/>
  <c r="T379" i="1" l="1"/>
  <c r="F379" i="1"/>
  <c r="D379" i="1"/>
  <c r="B380" i="1"/>
  <c r="O379" i="1"/>
  <c r="U379" i="1"/>
  <c r="C376" i="1"/>
  <c r="Y373" i="1"/>
  <c r="T380" i="1" l="1"/>
  <c r="F380" i="1"/>
  <c r="D380" i="1"/>
  <c r="B381" i="1"/>
  <c r="O380" i="1"/>
  <c r="U380" i="1"/>
  <c r="C377" i="1"/>
  <c r="Y374" i="1"/>
  <c r="T381" i="1" l="1"/>
  <c r="F381" i="1"/>
  <c r="D381" i="1"/>
  <c r="B382" i="1"/>
  <c r="O381" i="1"/>
  <c r="U381" i="1"/>
  <c r="C378" i="1"/>
  <c r="Y375" i="1"/>
  <c r="T382" i="1" l="1"/>
  <c r="F382" i="1"/>
  <c r="D382" i="1"/>
  <c r="B383" i="1"/>
  <c r="O382" i="1"/>
  <c r="U382" i="1"/>
  <c r="C379" i="1"/>
  <c r="Y376" i="1"/>
  <c r="T383" i="1" l="1"/>
  <c r="F383" i="1"/>
  <c r="D383" i="1"/>
  <c r="B384" i="1"/>
  <c r="O383" i="1"/>
  <c r="U383" i="1"/>
  <c r="C380" i="1"/>
  <c r="Y377" i="1"/>
  <c r="T384" i="1" l="1"/>
  <c r="F384" i="1"/>
  <c r="D384" i="1"/>
  <c r="B385" i="1"/>
  <c r="O384" i="1"/>
  <c r="U384" i="1"/>
  <c r="C381" i="1"/>
  <c r="Y378" i="1"/>
  <c r="T385" i="1" l="1"/>
  <c r="F385" i="1"/>
  <c r="D385" i="1"/>
  <c r="B386" i="1"/>
  <c r="O385" i="1"/>
  <c r="U385" i="1"/>
  <c r="C382" i="1"/>
  <c r="Y379" i="1"/>
  <c r="T386" i="1" l="1"/>
  <c r="F386" i="1"/>
  <c r="D386" i="1"/>
  <c r="B387" i="1"/>
  <c r="O386" i="1"/>
  <c r="U386" i="1"/>
  <c r="C383" i="1"/>
  <c r="Y380" i="1"/>
  <c r="T387" i="1" l="1"/>
  <c r="F387" i="1"/>
  <c r="D387" i="1"/>
  <c r="B388" i="1"/>
  <c r="O387" i="1"/>
  <c r="U387" i="1"/>
  <c r="C384" i="1"/>
  <c r="Y381" i="1"/>
  <c r="T388" i="1" l="1"/>
  <c r="F388" i="1"/>
  <c r="D388" i="1"/>
  <c r="B389" i="1"/>
  <c r="O388" i="1"/>
  <c r="U388" i="1"/>
  <c r="C385" i="1"/>
  <c r="Y382" i="1"/>
  <c r="T389" i="1" l="1"/>
  <c r="F389" i="1"/>
  <c r="D389" i="1"/>
  <c r="B390" i="1"/>
  <c r="O389" i="1"/>
  <c r="U389" i="1"/>
  <c r="C386" i="1"/>
  <c r="Y383" i="1"/>
  <c r="T390" i="1" l="1"/>
  <c r="F390" i="1"/>
  <c r="D390" i="1"/>
  <c r="B391" i="1"/>
  <c r="O390" i="1"/>
  <c r="U390" i="1"/>
  <c r="C387" i="1"/>
  <c r="Y384" i="1"/>
  <c r="T391" i="1" l="1"/>
  <c r="F391" i="1"/>
  <c r="D391" i="1"/>
  <c r="B392" i="1"/>
  <c r="O391" i="1"/>
  <c r="U391" i="1"/>
  <c r="C388" i="1"/>
  <c r="Y385" i="1"/>
  <c r="T392" i="1" l="1"/>
  <c r="F392" i="1"/>
  <c r="D392" i="1"/>
  <c r="B393" i="1"/>
  <c r="O392" i="1"/>
  <c r="U392" i="1"/>
  <c r="C389" i="1"/>
  <c r="Y386" i="1"/>
  <c r="T393" i="1" l="1"/>
  <c r="F393" i="1"/>
  <c r="D393" i="1"/>
  <c r="B394" i="1"/>
  <c r="O393" i="1"/>
  <c r="U393" i="1"/>
  <c r="C390" i="1"/>
  <c r="Y387" i="1"/>
  <c r="T394" i="1" l="1"/>
  <c r="F394" i="1"/>
  <c r="D394" i="1"/>
  <c r="B395" i="1"/>
  <c r="O394" i="1"/>
  <c r="U394" i="1"/>
  <c r="C391" i="1"/>
  <c r="Y388" i="1"/>
  <c r="T395" i="1" l="1"/>
  <c r="F395" i="1"/>
  <c r="D395" i="1"/>
  <c r="B396" i="1"/>
  <c r="O395" i="1"/>
  <c r="U395" i="1"/>
  <c r="C392" i="1"/>
  <c r="Y389" i="1"/>
  <c r="T396" i="1" l="1"/>
  <c r="F396" i="1"/>
  <c r="D396" i="1"/>
  <c r="B397" i="1"/>
  <c r="O396" i="1"/>
  <c r="U396" i="1"/>
  <c r="C393" i="1"/>
  <c r="Y390" i="1"/>
  <c r="T397" i="1" l="1"/>
  <c r="F397" i="1"/>
  <c r="D397" i="1"/>
  <c r="B398" i="1"/>
  <c r="O397" i="1"/>
  <c r="U397" i="1"/>
  <c r="C394" i="1"/>
  <c r="Y391" i="1"/>
  <c r="T398" i="1" l="1"/>
  <c r="F398" i="1"/>
  <c r="D398" i="1"/>
  <c r="B399" i="1"/>
  <c r="O398" i="1"/>
  <c r="U398" i="1"/>
  <c r="C395" i="1"/>
  <c r="Y392" i="1"/>
  <c r="T399" i="1" l="1"/>
  <c r="F399" i="1"/>
  <c r="D399" i="1"/>
  <c r="B400" i="1"/>
  <c r="O399" i="1"/>
  <c r="U399" i="1"/>
  <c r="C396" i="1"/>
  <c r="Y393" i="1"/>
  <c r="T400" i="1" l="1"/>
  <c r="F400" i="1"/>
  <c r="D400" i="1"/>
  <c r="B401" i="1"/>
  <c r="O400" i="1"/>
  <c r="U400" i="1"/>
  <c r="C397" i="1"/>
  <c r="Y394" i="1"/>
  <c r="T401" i="1" l="1"/>
  <c r="F401" i="1"/>
  <c r="D401" i="1"/>
  <c r="B402" i="1"/>
  <c r="O401" i="1"/>
  <c r="U401" i="1"/>
  <c r="C398" i="1"/>
  <c r="Y395" i="1"/>
  <c r="T402" i="1" l="1"/>
  <c r="F402" i="1"/>
  <c r="D402" i="1"/>
  <c r="B403" i="1"/>
  <c r="O402" i="1"/>
  <c r="U402" i="1"/>
  <c r="C399" i="1"/>
  <c r="Y396" i="1"/>
  <c r="T403" i="1" l="1"/>
  <c r="F403" i="1"/>
  <c r="D403" i="1"/>
  <c r="B404" i="1"/>
  <c r="O403" i="1"/>
  <c r="U403" i="1"/>
  <c r="C400" i="1"/>
  <c r="Y397" i="1"/>
  <c r="T404" i="1" l="1"/>
  <c r="F404" i="1"/>
  <c r="D404" i="1"/>
  <c r="B405" i="1"/>
  <c r="O404" i="1"/>
  <c r="U404" i="1"/>
  <c r="C401" i="1"/>
  <c r="Y398" i="1"/>
  <c r="T405" i="1" l="1"/>
  <c r="F405" i="1"/>
  <c r="D405" i="1"/>
  <c r="B406" i="1"/>
  <c r="O405" i="1"/>
  <c r="U405" i="1"/>
  <c r="C402" i="1"/>
  <c r="Y399" i="1"/>
  <c r="T406" i="1" l="1"/>
  <c r="F406" i="1"/>
  <c r="D406" i="1"/>
  <c r="B407" i="1"/>
  <c r="O406" i="1"/>
  <c r="U406" i="1"/>
  <c r="C403" i="1"/>
  <c r="Y400" i="1"/>
  <c r="T407" i="1" l="1"/>
  <c r="F407" i="1"/>
  <c r="D407" i="1"/>
  <c r="B408" i="1"/>
  <c r="O407" i="1"/>
  <c r="U407" i="1"/>
  <c r="C404" i="1"/>
  <c r="Y401" i="1"/>
  <c r="T408" i="1" l="1"/>
  <c r="F408" i="1"/>
  <c r="D408" i="1"/>
  <c r="B409" i="1"/>
  <c r="O408" i="1"/>
  <c r="U408" i="1"/>
  <c r="C405" i="1"/>
  <c r="Y402" i="1"/>
  <c r="T409" i="1" l="1"/>
  <c r="F409" i="1"/>
  <c r="D409" i="1"/>
  <c r="B410" i="1"/>
  <c r="O409" i="1"/>
  <c r="U409" i="1"/>
  <c r="C406" i="1"/>
  <c r="Y403" i="1"/>
  <c r="T410" i="1" l="1"/>
  <c r="F410" i="1"/>
  <c r="D410" i="1"/>
  <c r="B411" i="1"/>
  <c r="O410" i="1"/>
  <c r="U410" i="1"/>
  <c r="C407" i="1"/>
  <c r="Y404" i="1"/>
  <c r="T411" i="1" l="1"/>
  <c r="F411" i="1"/>
  <c r="D411" i="1"/>
  <c r="B412" i="1"/>
  <c r="O411" i="1"/>
  <c r="U411" i="1"/>
  <c r="C408" i="1"/>
  <c r="Y405" i="1"/>
  <c r="T412" i="1" l="1"/>
  <c r="F412" i="1"/>
  <c r="D412" i="1"/>
  <c r="B413" i="1"/>
  <c r="O412" i="1"/>
  <c r="U412" i="1"/>
  <c r="C409" i="1"/>
  <c r="Y406" i="1"/>
  <c r="T413" i="1" l="1"/>
  <c r="F413" i="1"/>
  <c r="D413" i="1"/>
  <c r="B414" i="1"/>
  <c r="O413" i="1"/>
  <c r="U413" i="1"/>
  <c r="C410" i="1"/>
  <c r="Y407" i="1"/>
  <c r="T414" i="1" l="1"/>
  <c r="F414" i="1"/>
  <c r="D414" i="1"/>
  <c r="B415" i="1"/>
  <c r="O414" i="1"/>
  <c r="U414" i="1"/>
  <c r="C411" i="1"/>
  <c r="Y408" i="1"/>
  <c r="T415" i="1" l="1"/>
  <c r="F415" i="1"/>
  <c r="D415" i="1"/>
  <c r="B416" i="1"/>
  <c r="O415" i="1"/>
  <c r="U415" i="1"/>
  <c r="C412" i="1"/>
  <c r="Y409" i="1"/>
  <c r="T416" i="1" l="1"/>
  <c r="F416" i="1"/>
  <c r="D416" i="1"/>
  <c r="B417" i="1"/>
  <c r="O416" i="1"/>
  <c r="U416" i="1"/>
  <c r="C413" i="1"/>
  <c r="Y410" i="1"/>
  <c r="T417" i="1" l="1"/>
  <c r="F417" i="1"/>
  <c r="D417" i="1"/>
  <c r="B418" i="1"/>
  <c r="O417" i="1"/>
  <c r="U417" i="1"/>
  <c r="C414" i="1"/>
  <c r="Y411" i="1"/>
  <c r="T418" i="1" l="1"/>
  <c r="F418" i="1"/>
  <c r="D418" i="1"/>
  <c r="B419" i="1"/>
  <c r="O418" i="1"/>
  <c r="U418" i="1"/>
  <c r="C415" i="1"/>
  <c r="Y412" i="1"/>
  <c r="T419" i="1" l="1"/>
  <c r="F419" i="1"/>
  <c r="D419" i="1"/>
  <c r="B420" i="1"/>
  <c r="O419" i="1"/>
  <c r="U419" i="1"/>
  <c r="C416" i="1"/>
  <c r="Y413" i="1"/>
  <c r="T420" i="1" l="1"/>
  <c r="F420" i="1"/>
  <c r="D420" i="1"/>
  <c r="B421" i="1"/>
  <c r="O420" i="1"/>
  <c r="U420" i="1"/>
  <c r="C417" i="1"/>
  <c r="Y414" i="1"/>
  <c r="T421" i="1" l="1"/>
  <c r="F421" i="1"/>
  <c r="D421" i="1"/>
  <c r="B422" i="1"/>
  <c r="O421" i="1"/>
  <c r="U421" i="1"/>
  <c r="C418" i="1"/>
  <c r="Y415" i="1"/>
  <c r="T422" i="1" l="1"/>
  <c r="F422" i="1"/>
  <c r="D422" i="1"/>
  <c r="B423" i="1"/>
  <c r="O422" i="1"/>
  <c r="U422" i="1"/>
  <c r="C419" i="1"/>
  <c r="Y416" i="1"/>
  <c r="T423" i="1" l="1"/>
  <c r="F423" i="1"/>
  <c r="D423" i="1"/>
  <c r="B424" i="1"/>
  <c r="O423" i="1"/>
  <c r="U423" i="1"/>
  <c r="C420" i="1"/>
  <c r="Y417" i="1"/>
  <c r="T424" i="1" l="1"/>
  <c r="F424" i="1"/>
  <c r="D424" i="1"/>
  <c r="B425" i="1"/>
  <c r="O424" i="1"/>
  <c r="U424" i="1"/>
  <c r="C421" i="1"/>
  <c r="Y418" i="1"/>
  <c r="T425" i="1" l="1"/>
  <c r="F425" i="1"/>
  <c r="D425" i="1"/>
  <c r="B426" i="1"/>
  <c r="O425" i="1"/>
  <c r="U425" i="1"/>
  <c r="C422" i="1"/>
  <c r="Y419" i="1"/>
  <c r="T426" i="1" l="1"/>
  <c r="F426" i="1"/>
  <c r="D426" i="1"/>
  <c r="B427" i="1"/>
  <c r="O426" i="1"/>
  <c r="U426" i="1"/>
  <c r="C423" i="1"/>
  <c r="Y420" i="1"/>
  <c r="T427" i="1" l="1"/>
  <c r="F427" i="1"/>
  <c r="D427" i="1"/>
  <c r="B428" i="1"/>
  <c r="O427" i="1"/>
  <c r="U427" i="1"/>
  <c r="C424" i="1"/>
  <c r="Y421" i="1"/>
  <c r="T428" i="1" l="1"/>
  <c r="F428" i="1"/>
  <c r="D428" i="1"/>
  <c r="B429" i="1"/>
  <c r="O428" i="1"/>
  <c r="U428" i="1"/>
  <c r="C425" i="1"/>
  <c r="Y422" i="1"/>
  <c r="T429" i="1" l="1"/>
  <c r="F429" i="1"/>
  <c r="D429" i="1"/>
  <c r="B430" i="1"/>
  <c r="O429" i="1"/>
  <c r="U429" i="1"/>
  <c r="C426" i="1"/>
  <c r="Y423" i="1"/>
  <c r="T430" i="1" l="1"/>
  <c r="F430" i="1"/>
  <c r="D430" i="1"/>
  <c r="B431" i="1"/>
  <c r="O430" i="1"/>
  <c r="U430" i="1"/>
  <c r="C427" i="1"/>
  <c r="Y424" i="1"/>
  <c r="T431" i="1" l="1"/>
  <c r="F431" i="1"/>
  <c r="D431" i="1"/>
  <c r="B432" i="1"/>
  <c r="O431" i="1"/>
  <c r="U431" i="1"/>
  <c r="C428" i="1"/>
  <c r="Y425" i="1"/>
  <c r="T432" i="1" l="1"/>
  <c r="F432" i="1"/>
  <c r="D432" i="1"/>
  <c r="B433" i="1"/>
  <c r="O432" i="1"/>
  <c r="U432" i="1"/>
  <c r="C429" i="1"/>
  <c r="Y426" i="1"/>
  <c r="T433" i="1" l="1"/>
  <c r="F433" i="1"/>
  <c r="D433" i="1"/>
  <c r="B434" i="1"/>
  <c r="O433" i="1"/>
  <c r="U433" i="1"/>
  <c r="C430" i="1"/>
  <c r="Y427" i="1"/>
  <c r="T434" i="1" l="1"/>
  <c r="F434" i="1"/>
  <c r="D434" i="1"/>
  <c r="B435" i="1"/>
  <c r="O434" i="1"/>
  <c r="U434" i="1"/>
  <c r="C431" i="1"/>
  <c r="Y428" i="1"/>
  <c r="T435" i="1" l="1"/>
  <c r="F435" i="1"/>
  <c r="D435" i="1"/>
  <c r="B436" i="1"/>
  <c r="O435" i="1"/>
  <c r="U435" i="1"/>
  <c r="C432" i="1"/>
  <c r="Y429" i="1"/>
  <c r="T436" i="1" l="1"/>
  <c r="F436" i="1"/>
  <c r="D436" i="1"/>
  <c r="B437" i="1"/>
  <c r="O436" i="1"/>
  <c r="U436" i="1"/>
  <c r="C433" i="1"/>
  <c r="Y430" i="1"/>
  <c r="T437" i="1" l="1"/>
  <c r="F437" i="1"/>
  <c r="D437" i="1"/>
  <c r="B438" i="1"/>
  <c r="O437" i="1"/>
  <c r="U437" i="1"/>
  <c r="C434" i="1"/>
  <c r="Y431" i="1"/>
  <c r="T438" i="1" l="1"/>
  <c r="F438" i="1"/>
  <c r="D438" i="1"/>
  <c r="B439" i="1"/>
  <c r="O438" i="1"/>
  <c r="U438" i="1"/>
  <c r="C435" i="1"/>
  <c r="Y432" i="1"/>
  <c r="T439" i="1" l="1"/>
  <c r="F439" i="1"/>
  <c r="D439" i="1"/>
  <c r="B440" i="1"/>
  <c r="O439" i="1"/>
  <c r="U439" i="1"/>
  <c r="C436" i="1"/>
  <c r="Y433" i="1"/>
  <c r="T440" i="1" l="1"/>
  <c r="F440" i="1"/>
  <c r="D440" i="1"/>
  <c r="B441" i="1"/>
  <c r="O440" i="1"/>
  <c r="U440" i="1"/>
  <c r="C437" i="1"/>
  <c r="Y434" i="1"/>
  <c r="T441" i="1" l="1"/>
  <c r="F441" i="1"/>
  <c r="D441" i="1"/>
  <c r="B442" i="1"/>
  <c r="O441" i="1"/>
  <c r="U441" i="1"/>
  <c r="C438" i="1"/>
  <c r="Y435" i="1"/>
  <c r="T442" i="1" l="1"/>
  <c r="F442" i="1"/>
  <c r="D442" i="1"/>
  <c r="B443" i="1"/>
  <c r="O442" i="1"/>
  <c r="U442" i="1"/>
  <c r="C439" i="1"/>
  <c r="Y436" i="1"/>
  <c r="T443" i="1" l="1"/>
  <c r="F443" i="1"/>
  <c r="D443" i="1"/>
  <c r="B444" i="1"/>
  <c r="O443" i="1"/>
  <c r="U443" i="1"/>
  <c r="C440" i="1"/>
  <c r="Y437" i="1"/>
  <c r="T444" i="1" l="1"/>
  <c r="F444" i="1"/>
  <c r="D444" i="1"/>
  <c r="B445" i="1"/>
  <c r="O444" i="1"/>
  <c r="U444" i="1"/>
  <c r="C441" i="1"/>
  <c r="Y438" i="1"/>
  <c r="T445" i="1" l="1"/>
  <c r="F445" i="1"/>
  <c r="D445" i="1"/>
  <c r="B446" i="1"/>
  <c r="O445" i="1"/>
  <c r="U445" i="1"/>
  <c r="C442" i="1"/>
  <c r="Y439" i="1"/>
  <c r="T446" i="1" l="1"/>
  <c r="F446" i="1"/>
  <c r="D446" i="1"/>
  <c r="B447" i="1"/>
  <c r="O446" i="1"/>
  <c r="U446" i="1"/>
  <c r="C443" i="1"/>
  <c r="Y440" i="1"/>
  <c r="T447" i="1" l="1"/>
  <c r="F447" i="1"/>
  <c r="D447" i="1"/>
  <c r="B448" i="1"/>
  <c r="O447" i="1"/>
  <c r="U447" i="1"/>
  <c r="C444" i="1"/>
  <c r="Y441" i="1"/>
  <c r="T448" i="1" l="1"/>
  <c r="F448" i="1"/>
  <c r="D448" i="1"/>
  <c r="B449" i="1"/>
  <c r="O448" i="1"/>
  <c r="U448" i="1"/>
  <c r="C445" i="1"/>
  <c r="Y442" i="1"/>
  <c r="T449" i="1" l="1"/>
  <c r="F449" i="1"/>
  <c r="D449" i="1"/>
  <c r="B450" i="1"/>
  <c r="O449" i="1"/>
  <c r="U449" i="1"/>
  <c r="C446" i="1"/>
  <c r="Y443" i="1"/>
  <c r="T450" i="1" l="1"/>
  <c r="F450" i="1"/>
  <c r="D450" i="1"/>
  <c r="B451" i="1"/>
  <c r="O450" i="1"/>
  <c r="U450" i="1"/>
  <c r="C447" i="1"/>
  <c r="Y444" i="1"/>
  <c r="T451" i="1" l="1"/>
  <c r="F451" i="1"/>
  <c r="D451" i="1"/>
  <c r="B452" i="1"/>
  <c r="O451" i="1"/>
  <c r="U451" i="1"/>
  <c r="C448" i="1"/>
  <c r="Y445" i="1"/>
  <c r="T452" i="1" l="1"/>
  <c r="F452" i="1"/>
  <c r="D452" i="1"/>
  <c r="B453" i="1"/>
  <c r="O452" i="1"/>
  <c r="U452" i="1"/>
  <c r="C449" i="1"/>
  <c r="Y446" i="1"/>
  <c r="T453" i="1" l="1"/>
  <c r="F453" i="1"/>
  <c r="D453" i="1"/>
  <c r="B454" i="1"/>
  <c r="O453" i="1"/>
  <c r="U453" i="1"/>
  <c r="C450" i="1"/>
  <c r="Y447" i="1"/>
  <c r="T454" i="1" l="1"/>
  <c r="F454" i="1"/>
  <c r="D454" i="1"/>
  <c r="B455" i="1"/>
  <c r="O454" i="1"/>
  <c r="U454" i="1"/>
  <c r="C451" i="1"/>
  <c r="Y448" i="1"/>
  <c r="T455" i="1" l="1"/>
  <c r="F455" i="1"/>
  <c r="D455" i="1"/>
  <c r="B456" i="1"/>
  <c r="O455" i="1"/>
  <c r="U455" i="1"/>
  <c r="C452" i="1"/>
  <c r="Y449" i="1"/>
  <c r="T456" i="1" l="1"/>
  <c r="F456" i="1"/>
  <c r="D456" i="1"/>
  <c r="B457" i="1"/>
  <c r="O456" i="1"/>
  <c r="U456" i="1"/>
  <c r="C453" i="1"/>
  <c r="Y450" i="1"/>
  <c r="T457" i="1" l="1"/>
  <c r="F457" i="1"/>
  <c r="D457" i="1"/>
  <c r="B458" i="1"/>
  <c r="O457" i="1"/>
  <c r="U457" i="1"/>
  <c r="C454" i="1"/>
  <c r="Y451" i="1"/>
  <c r="T458" i="1" l="1"/>
  <c r="F458" i="1"/>
  <c r="D458" i="1"/>
  <c r="B459" i="1"/>
  <c r="O458" i="1"/>
  <c r="U458" i="1"/>
  <c r="C455" i="1"/>
  <c r="Y452" i="1"/>
  <c r="T459" i="1" l="1"/>
  <c r="F459" i="1"/>
  <c r="D459" i="1"/>
  <c r="B460" i="1"/>
  <c r="O459" i="1"/>
  <c r="U459" i="1"/>
  <c r="C456" i="1"/>
  <c r="Y453" i="1"/>
  <c r="T460" i="1" l="1"/>
  <c r="F460" i="1"/>
  <c r="D460" i="1"/>
  <c r="B461" i="1"/>
  <c r="O460" i="1"/>
  <c r="U460" i="1"/>
  <c r="C457" i="1"/>
  <c r="Y454" i="1"/>
  <c r="T461" i="1" l="1"/>
  <c r="F461" i="1"/>
  <c r="D461" i="1"/>
  <c r="B462" i="1"/>
  <c r="O461" i="1"/>
  <c r="U461" i="1"/>
  <c r="C458" i="1"/>
  <c r="Y455" i="1"/>
  <c r="T462" i="1" l="1"/>
  <c r="F462" i="1"/>
  <c r="D462" i="1"/>
  <c r="B463" i="1"/>
  <c r="O462" i="1"/>
  <c r="U462" i="1"/>
  <c r="C459" i="1"/>
  <c r="Y456" i="1"/>
  <c r="T463" i="1" l="1"/>
  <c r="F463" i="1"/>
  <c r="D463" i="1"/>
  <c r="B464" i="1"/>
  <c r="O463" i="1"/>
  <c r="U463" i="1"/>
  <c r="C460" i="1"/>
  <c r="Y457" i="1"/>
  <c r="T464" i="1" l="1"/>
  <c r="F464" i="1"/>
  <c r="D464" i="1"/>
  <c r="B465" i="1"/>
  <c r="O464" i="1"/>
  <c r="U464" i="1"/>
  <c r="C461" i="1"/>
  <c r="Y458" i="1"/>
  <c r="T465" i="1" l="1"/>
  <c r="F465" i="1"/>
  <c r="D465" i="1"/>
  <c r="B466" i="1"/>
  <c r="O465" i="1"/>
  <c r="U465" i="1"/>
  <c r="C462" i="1"/>
  <c r="Y459" i="1"/>
  <c r="T466" i="1" l="1"/>
  <c r="F466" i="1"/>
  <c r="D466" i="1"/>
  <c r="B467" i="1"/>
  <c r="O466" i="1"/>
  <c r="U466" i="1"/>
  <c r="C463" i="1"/>
  <c r="Y460" i="1"/>
  <c r="T467" i="1" l="1"/>
  <c r="F467" i="1"/>
  <c r="D467" i="1"/>
  <c r="B468" i="1"/>
  <c r="O467" i="1"/>
  <c r="U467" i="1"/>
  <c r="C464" i="1"/>
  <c r="Y461" i="1"/>
  <c r="T468" i="1" l="1"/>
  <c r="F468" i="1"/>
  <c r="D468" i="1"/>
  <c r="B469" i="1"/>
  <c r="O468" i="1"/>
  <c r="U468" i="1"/>
  <c r="C465" i="1"/>
  <c r="Y462" i="1"/>
  <c r="T469" i="1" l="1"/>
  <c r="F469" i="1"/>
  <c r="D469" i="1"/>
  <c r="B470" i="1"/>
  <c r="O469" i="1"/>
  <c r="U469" i="1"/>
  <c r="C466" i="1"/>
  <c r="Y463" i="1"/>
  <c r="T470" i="1" l="1"/>
  <c r="F470" i="1"/>
  <c r="D470" i="1"/>
  <c r="B471" i="1"/>
  <c r="O470" i="1"/>
  <c r="U470" i="1"/>
  <c r="C467" i="1"/>
  <c r="Y464" i="1"/>
  <c r="T471" i="1" l="1"/>
  <c r="F471" i="1"/>
  <c r="D471" i="1"/>
  <c r="B472" i="1"/>
  <c r="O471" i="1"/>
  <c r="U471" i="1"/>
  <c r="C468" i="1"/>
  <c r="Y465" i="1"/>
  <c r="T472" i="1" l="1"/>
  <c r="F472" i="1"/>
  <c r="D472" i="1"/>
  <c r="B473" i="1"/>
  <c r="O472" i="1"/>
  <c r="U472" i="1"/>
  <c r="C469" i="1"/>
  <c r="Y466" i="1"/>
  <c r="T473" i="1" l="1"/>
  <c r="F473" i="1"/>
  <c r="D473" i="1"/>
  <c r="B474" i="1"/>
  <c r="O473" i="1"/>
  <c r="U473" i="1"/>
  <c r="C470" i="1"/>
  <c r="Y467" i="1"/>
  <c r="T474" i="1" l="1"/>
  <c r="F474" i="1"/>
  <c r="D474" i="1"/>
  <c r="B475" i="1"/>
  <c r="O474" i="1"/>
  <c r="U474" i="1"/>
  <c r="C471" i="1"/>
  <c r="Y468" i="1"/>
  <c r="T475" i="1" l="1"/>
  <c r="F475" i="1"/>
  <c r="D475" i="1"/>
  <c r="B476" i="1"/>
  <c r="O475" i="1"/>
  <c r="U475" i="1"/>
  <c r="C472" i="1"/>
  <c r="Y469" i="1"/>
  <c r="T476" i="1" l="1"/>
  <c r="F476" i="1"/>
  <c r="D476" i="1"/>
  <c r="B477" i="1"/>
  <c r="O476" i="1"/>
  <c r="U476" i="1"/>
  <c r="C473" i="1"/>
  <c r="Y470" i="1"/>
  <c r="T477" i="1" l="1"/>
  <c r="F477" i="1"/>
  <c r="D477" i="1"/>
  <c r="B478" i="1"/>
  <c r="O477" i="1"/>
  <c r="U477" i="1"/>
  <c r="C474" i="1"/>
  <c r="Y471" i="1"/>
  <c r="T478" i="1" l="1"/>
  <c r="F478" i="1"/>
  <c r="D478" i="1"/>
  <c r="B479" i="1"/>
  <c r="O478" i="1"/>
  <c r="U478" i="1"/>
  <c r="C475" i="1"/>
  <c r="Y472" i="1"/>
  <c r="T479" i="1" l="1"/>
  <c r="F479" i="1"/>
  <c r="D479" i="1"/>
  <c r="B480" i="1"/>
  <c r="O479" i="1"/>
  <c r="U479" i="1"/>
  <c r="C476" i="1"/>
  <c r="Y473" i="1"/>
  <c r="T480" i="1" l="1"/>
  <c r="F480" i="1"/>
  <c r="D480" i="1"/>
  <c r="B481" i="1"/>
  <c r="O480" i="1"/>
  <c r="U480" i="1"/>
  <c r="C477" i="1"/>
  <c r="Y474" i="1"/>
  <c r="T481" i="1" l="1"/>
  <c r="F481" i="1"/>
  <c r="D481" i="1"/>
  <c r="B482" i="1"/>
  <c r="O481" i="1"/>
  <c r="U481" i="1"/>
  <c r="C478" i="1"/>
  <c r="Y475" i="1"/>
  <c r="T482" i="1" l="1"/>
  <c r="F482" i="1"/>
  <c r="D482" i="1"/>
  <c r="B483" i="1"/>
  <c r="O482" i="1"/>
  <c r="U482" i="1"/>
  <c r="C479" i="1"/>
  <c r="Y476" i="1"/>
  <c r="T483" i="1" l="1"/>
  <c r="F483" i="1"/>
  <c r="D483" i="1"/>
  <c r="B484" i="1"/>
  <c r="O483" i="1"/>
  <c r="U483" i="1"/>
  <c r="C480" i="1"/>
  <c r="Y477" i="1"/>
  <c r="T484" i="1" l="1"/>
  <c r="F484" i="1"/>
  <c r="D484" i="1"/>
  <c r="B485" i="1"/>
  <c r="O484" i="1"/>
  <c r="U484" i="1"/>
  <c r="C481" i="1"/>
  <c r="Y478" i="1"/>
  <c r="T485" i="1" l="1"/>
  <c r="F485" i="1"/>
  <c r="D485" i="1"/>
  <c r="B486" i="1"/>
  <c r="O485" i="1"/>
  <c r="U485" i="1"/>
  <c r="C482" i="1"/>
  <c r="Y479" i="1"/>
  <c r="T486" i="1" l="1"/>
  <c r="F486" i="1"/>
  <c r="D486" i="1"/>
  <c r="B487" i="1"/>
  <c r="O486" i="1"/>
  <c r="U486" i="1"/>
  <c r="C483" i="1"/>
  <c r="Y480" i="1"/>
  <c r="T487" i="1" l="1"/>
  <c r="F487" i="1"/>
  <c r="D487" i="1"/>
  <c r="B488" i="1"/>
  <c r="O487" i="1"/>
  <c r="U487" i="1"/>
  <c r="C484" i="1"/>
  <c r="Y481" i="1"/>
  <c r="T488" i="1" l="1"/>
  <c r="F488" i="1"/>
  <c r="D488" i="1"/>
  <c r="B489" i="1"/>
  <c r="O488" i="1"/>
  <c r="U488" i="1"/>
  <c r="C485" i="1"/>
  <c r="Y482" i="1"/>
  <c r="T489" i="1" l="1"/>
  <c r="F489" i="1"/>
  <c r="D489" i="1"/>
  <c r="B490" i="1"/>
  <c r="O489" i="1"/>
  <c r="U489" i="1"/>
  <c r="C486" i="1"/>
  <c r="Y483" i="1"/>
  <c r="T490" i="1" l="1"/>
  <c r="F490" i="1"/>
  <c r="D490" i="1"/>
  <c r="B491" i="1"/>
  <c r="O490" i="1"/>
  <c r="U490" i="1"/>
  <c r="C487" i="1"/>
  <c r="Y484" i="1"/>
  <c r="T491" i="1" l="1"/>
  <c r="F491" i="1"/>
  <c r="D491" i="1"/>
  <c r="B492" i="1"/>
  <c r="O491" i="1"/>
  <c r="U491" i="1"/>
  <c r="C488" i="1"/>
  <c r="Y485" i="1"/>
  <c r="T492" i="1" l="1"/>
  <c r="F492" i="1"/>
  <c r="D492" i="1"/>
  <c r="B493" i="1"/>
  <c r="O492" i="1"/>
  <c r="U492" i="1"/>
  <c r="C489" i="1"/>
  <c r="Y486" i="1"/>
  <c r="T493" i="1" l="1"/>
  <c r="F493" i="1"/>
  <c r="D493" i="1"/>
  <c r="B494" i="1"/>
  <c r="O493" i="1"/>
  <c r="U493" i="1"/>
  <c r="C490" i="1"/>
  <c r="Y487" i="1"/>
  <c r="T494" i="1" l="1"/>
  <c r="F494" i="1"/>
  <c r="D494" i="1"/>
  <c r="B495" i="1"/>
  <c r="O494" i="1"/>
  <c r="U494" i="1"/>
  <c r="C491" i="1"/>
  <c r="Y488" i="1"/>
  <c r="T495" i="1" l="1"/>
  <c r="F495" i="1"/>
  <c r="D495" i="1"/>
  <c r="B496" i="1"/>
  <c r="O495" i="1"/>
  <c r="U495" i="1"/>
  <c r="C492" i="1"/>
  <c r="Y489" i="1"/>
  <c r="T496" i="1" l="1"/>
  <c r="F496" i="1"/>
  <c r="D496" i="1"/>
  <c r="B497" i="1"/>
  <c r="O496" i="1"/>
  <c r="U496" i="1"/>
  <c r="C493" i="1"/>
  <c r="Y490" i="1"/>
  <c r="T497" i="1" l="1"/>
  <c r="F497" i="1"/>
  <c r="D497" i="1"/>
  <c r="B498" i="1"/>
  <c r="O497" i="1"/>
  <c r="U497" i="1"/>
  <c r="C494" i="1"/>
  <c r="Y491" i="1"/>
  <c r="T498" i="1" l="1"/>
  <c r="F498" i="1"/>
  <c r="D498" i="1"/>
  <c r="B499" i="1"/>
  <c r="O498" i="1"/>
  <c r="U498" i="1"/>
  <c r="C495" i="1"/>
  <c r="Y492" i="1"/>
  <c r="T499" i="1" l="1"/>
  <c r="F499" i="1"/>
  <c r="D499" i="1"/>
  <c r="B500" i="1"/>
  <c r="O499" i="1"/>
  <c r="U499" i="1"/>
  <c r="C496" i="1"/>
  <c r="Y493" i="1"/>
  <c r="T500" i="1" l="1"/>
  <c r="F500" i="1"/>
  <c r="D500" i="1"/>
  <c r="B501" i="1"/>
  <c r="O500" i="1"/>
  <c r="U500" i="1"/>
  <c r="C497" i="1"/>
  <c r="Y494" i="1"/>
  <c r="T501" i="1" l="1"/>
  <c r="F501" i="1"/>
  <c r="D501" i="1"/>
  <c r="B502" i="1"/>
  <c r="O501" i="1"/>
  <c r="U501" i="1"/>
  <c r="C498" i="1"/>
  <c r="Y495" i="1"/>
  <c r="T502" i="1" l="1"/>
  <c r="F502" i="1"/>
  <c r="D502" i="1"/>
  <c r="B503" i="1"/>
  <c r="O502" i="1"/>
  <c r="U502" i="1"/>
  <c r="C499" i="1"/>
  <c r="Y496" i="1"/>
  <c r="T503" i="1" l="1"/>
  <c r="F503" i="1"/>
  <c r="D503" i="1"/>
  <c r="B504" i="1"/>
  <c r="O503" i="1"/>
  <c r="U503" i="1"/>
  <c r="C500" i="1"/>
  <c r="Y497" i="1"/>
  <c r="T504" i="1" l="1"/>
  <c r="F504" i="1"/>
  <c r="D504" i="1"/>
  <c r="B505" i="1"/>
  <c r="O504" i="1"/>
  <c r="U504" i="1"/>
  <c r="C501" i="1"/>
  <c r="Y498" i="1"/>
  <c r="T505" i="1" l="1"/>
  <c r="F505" i="1"/>
  <c r="D505" i="1"/>
  <c r="B506" i="1"/>
  <c r="O505" i="1"/>
  <c r="U505" i="1"/>
  <c r="C502" i="1"/>
  <c r="Y499" i="1"/>
  <c r="T506" i="1" l="1"/>
  <c r="F506" i="1"/>
  <c r="D506" i="1"/>
  <c r="B507" i="1"/>
  <c r="O506" i="1"/>
  <c r="U506" i="1"/>
  <c r="C503" i="1"/>
  <c r="Y500" i="1"/>
  <c r="T507" i="1" l="1"/>
  <c r="F507" i="1"/>
  <c r="D507" i="1"/>
  <c r="B508" i="1"/>
  <c r="O507" i="1"/>
  <c r="U507" i="1"/>
  <c r="C504" i="1"/>
  <c r="Y501" i="1"/>
  <c r="T508" i="1" l="1"/>
  <c r="F508" i="1"/>
  <c r="D508" i="1"/>
  <c r="B509" i="1"/>
  <c r="O508" i="1"/>
  <c r="U508" i="1"/>
  <c r="C505" i="1"/>
  <c r="Y502" i="1"/>
  <c r="T509" i="1" l="1"/>
  <c r="F509" i="1"/>
  <c r="D509" i="1"/>
  <c r="B510" i="1"/>
  <c r="O509" i="1"/>
  <c r="U509" i="1"/>
  <c r="C506" i="1"/>
  <c r="Y503" i="1"/>
  <c r="T510" i="1" l="1"/>
  <c r="F510" i="1"/>
  <c r="D510" i="1"/>
  <c r="B511" i="1"/>
  <c r="O510" i="1"/>
  <c r="U510" i="1"/>
  <c r="C507" i="1"/>
  <c r="Y504" i="1"/>
  <c r="T511" i="1" l="1"/>
  <c r="F511" i="1"/>
  <c r="D511" i="1"/>
  <c r="B512" i="1"/>
  <c r="O511" i="1"/>
  <c r="U511" i="1"/>
  <c r="C508" i="1"/>
  <c r="Y505" i="1"/>
  <c r="T512" i="1" l="1"/>
  <c r="F512" i="1"/>
  <c r="D512" i="1"/>
  <c r="B513" i="1"/>
  <c r="O512" i="1"/>
  <c r="U512" i="1"/>
  <c r="C509" i="1"/>
  <c r="Y506" i="1"/>
  <c r="T513" i="1" l="1"/>
  <c r="F513" i="1"/>
  <c r="D513" i="1"/>
  <c r="B514" i="1"/>
  <c r="O513" i="1"/>
  <c r="U513" i="1"/>
  <c r="C510" i="1"/>
  <c r="Y507" i="1"/>
  <c r="T514" i="1" l="1"/>
  <c r="F514" i="1"/>
  <c r="D514" i="1"/>
  <c r="B515" i="1"/>
  <c r="O514" i="1"/>
  <c r="U514" i="1"/>
  <c r="C511" i="1"/>
  <c r="Y508" i="1"/>
  <c r="T515" i="1" l="1"/>
  <c r="F515" i="1"/>
  <c r="D515" i="1"/>
  <c r="B516" i="1"/>
  <c r="O515" i="1"/>
  <c r="U515" i="1"/>
  <c r="C512" i="1"/>
  <c r="Y509" i="1"/>
  <c r="T516" i="1" l="1"/>
  <c r="F516" i="1"/>
  <c r="D516" i="1"/>
  <c r="B517" i="1"/>
  <c r="O516" i="1"/>
  <c r="U516" i="1"/>
  <c r="C513" i="1"/>
  <c r="Y510" i="1"/>
  <c r="T517" i="1" l="1"/>
  <c r="F517" i="1"/>
  <c r="D517" i="1"/>
  <c r="B518" i="1"/>
  <c r="O517" i="1"/>
  <c r="U517" i="1"/>
  <c r="C514" i="1"/>
  <c r="Y511" i="1"/>
  <c r="T518" i="1" l="1"/>
  <c r="F518" i="1"/>
  <c r="D518" i="1"/>
  <c r="B519" i="1"/>
  <c r="O518" i="1"/>
  <c r="U518" i="1"/>
  <c r="C515" i="1"/>
  <c r="Y512" i="1"/>
  <c r="T519" i="1" l="1"/>
  <c r="F519" i="1"/>
  <c r="D519" i="1"/>
  <c r="B520" i="1"/>
  <c r="O519" i="1"/>
  <c r="U519" i="1"/>
  <c r="C516" i="1"/>
  <c r="Y513" i="1"/>
  <c r="T520" i="1" l="1"/>
  <c r="F520" i="1"/>
  <c r="D520" i="1"/>
  <c r="B521" i="1"/>
  <c r="O520" i="1"/>
  <c r="U520" i="1"/>
  <c r="C517" i="1"/>
  <c r="Y514" i="1"/>
  <c r="T521" i="1" l="1"/>
  <c r="F521" i="1"/>
  <c r="D521" i="1"/>
  <c r="B522" i="1"/>
  <c r="O521" i="1"/>
  <c r="U521" i="1"/>
  <c r="C518" i="1"/>
  <c r="Y515" i="1"/>
  <c r="T522" i="1" l="1"/>
  <c r="F522" i="1"/>
  <c r="D522" i="1"/>
  <c r="B523" i="1"/>
  <c r="O522" i="1"/>
  <c r="U522" i="1"/>
  <c r="C519" i="1"/>
  <c r="Y516" i="1"/>
  <c r="T523" i="1" l="1"/>
  <c r="F523" i="1"/>
  <c r="D523" i="1"/>
  <c r="B524" i="1"/>
  <c r="O523" i="1"/>
  <c r="U523" i="1"/>
  <c r="C520" i="1"/>
  <c r="Y517" i="1"/>
  <c r="T524" i="1" l="1"/>
  <c r="F524" i="1"/>
  <c r="D524" i="1"/>
  <c r="B525" i="1"/>
  <c r="O524" i="1"/>
  <c r="U524" i="1"/>
  <c r="C521" i="1"/>
  <c r="Y518" i="1"/>
  <c r="T525" i="1" l="1"/>
  <c r="F525" i="1"/>
  <c r="D525" i="1"/>
  <c r="B526" i="1"/>
  <c r="O525" i="1"/>
  <c r="U525" i="1"/>
  <c r="C522" i="1"/>
  <c r="Y519" i="1"/>
  <c r="T526" i="1" l="1"/>
  <c r="F526" i="1"/>
  <c r="D526" i="1"/>
  <c r="B527" i="1"/>
  <c r="O526" i="1"/>
  <c r="U526" i="1"/>
  <c r="C523" i="1"/>
  <c r="Y520" i="1"/>
  <c r="T527" i="1" l="1"/>
  <c r="F527" i="1"/>
  <c r="D527" i="1"/>
  <c r="B528" i="1"/>
  <c r="O527" i="1"/>
  <c r="U527" i="1"/>
  <c r="C524" i="1"/>
  <c r="Y521" i="1"/>
  <c r="T528" i="1" l="1"/>
  <c r="F528" i="1"/>
  <c r="D528" i="1"/>
  <c r="B529" i="1"/>
  <c r="O528" i="1"/>
  <c r="U528" i="1"/>
  <c r="C525" i="1"/>
  <c r="Y522" i="1"/>
  <c r="T529" i="1" l="1"/>
  <c r="F529" i="1"/>
  <c r="D529" i="1"/>
  <c r="B530" i="1"/>
  <c r="O529" i="1"/>
  <c r="U529" i="1"/>
  <c r="C526" i="1"/>
  <c r="Y523" i="1"/>
  <c r="T530" i="1" l="1"/>
  <c r="F530" i="1"/>
  <c r="D530" i="1"/>
  <c r="B531" i="1"/>
  <c r="O530" i="1"/>
  <c r="U530" i="1"/>
  <c r="C527" i="1"/>
  <c r="Y524" i="1"/>
  <c r="T531" i="1" l="1"/>
  <c r="F531" i="1"/>
  <c r="D531" i="1"/>
  <c r="B532" i="1"/>
  <c r="O531" i="1"/>
  <c r="U531" i="1"/>
  <c r="C528" i="1"/>
  <c r="Y525" i="1"/>
  <c r="T532" i="1" l="1"/>
  <c r="F532" i="1"/>
  <c r="D532" i="1"/>
  <c r="B533" i="1"/>
  <c r="O532" i="1"/>
  <c r="U532" i="1"/>
  <c r="C529" i="1"/>
  <c r="Y526" i="1"/>
  <c r="T533" i="1" l="1"/>
  <c r="F533" i="1"/>
  <c r="D533" i="1"/>
  <c r="B534" i="1"/>
  <c r="O533" i="1"/>
  <c r="U533" i="1"/>
  <c r="C530" i="1"/>
  <c r="Y527" i="1"/>
  <c r="T534" i="1" l="1"/>
  <c r="F534" i="1"/>
  <c r="D534" i="1"/>
  <c r="B535" i="1"/>
  <c r="O534" i="1"/>
  <c r="U534" i="1"/>
  <c r="C531" i="1"/>
  <c r="Y528" i="1"/>
  <c r="T535" i="1" l="1"/>
  <c r="F535" i="1"/>
  <c r="D535" i="1"/>
  <c r="B536" i="1"/>
  <c r="O535" i="1"/>
  <c r="U535" i="1"/>
  <c r="C532" i="1"/>
  <c r="Y529" i="1"/>
  <c r="T536" i="1" l="1"/>
  <c r="F536" i="1"/>
  <c r="D536" i="1"/>
  <c r="B537" i="1"/>
  <c r="O536" i="1"/>
  <c r="U536" i="1"/>
  <c r="C533" i="1"/>
  <c r="Y530" i="1"/>
  <c r="T537" i="1" l="1"/>
  <c r="F537" i="1"/>
  <c r="D537" i="1"/>
  <c r="B538" i="1"/>
  <c r="O537" i="1"/>
  <c r="U537" i="1"/>
  <c r="C534" i="1"/>
  <c r="Y531" i="1"/>
  <c r="T538" i="1" l="1"/>
  <c r="F538" i="1"/>
  <c r="D538" i="1"/>
  <c r="B539" i="1"/>
  <c r="O538" i="1"/>
  <c r="U538" i="1"/>
  <c r="C535" i="1"/>
  <c r="Y532" i="1"/>
  <c r="T539" i="1" l="1"/>
  <c r="F539" i="1"/>
  <c r="D539" i="1"/>
  <c r="B540" i="1"/>
  <c r="O539" i="1"/>
  <c r="U539" i="1"/>
  <c r="C536" i="1"/>
  <c r="Y533" i="1"/>
  <c r="T540" i="1" l="1"/>
  <c r="F540" i="1"/>
  <c r="D540" i="1"/>
  <c r="B541" i="1"/>
  <c r="O540" i="1"/>
  <c r="U540" i="1"/>
  <c r="C537" i="1"/>
  <c r="Y534" i="1"/>
  <c r="T541" i="1" l="1"/>
  <c r="F541" i="1"/>
  <c r="D541" i="1"/>
  <c r="B542" i="1"/>
  <c r="O541" i="1"/>
  <c r="U541" i="1"/>
  <c r="C538" i="1"/>
  <c r="Y535" i="1"/>
  <c r="T542" i="1" l="1"/>
  <c r="F542" i="1"/>
  <c r="D542" i="1"/>
  <c r="B543" i="1"/>
  <c r="O542" i="1"/>
  <c r="U542" i="1"/>
  <c r="C539" i="1"/>
  <c r="Y536" i="1"/>
  <c r="T543" i="1" l="1"/>
  <c r="F543" i="1"/>
  <c r="D543" i="1"/>
  <c r="B544" i="1"/>
  <c r="O543" i="1"/>
  <c r="U543" i="1"/>
  <c r="C540" i="1"/>
  <c r="Y537" i="1"/>
  <c r="T544" i="1" l="1"/>
  <c r="F544" i="1"/>
  <c r="D544" i="1"/>
  <c r="B545" i="1"/>
  <c r="O544" i="1"/>
  <c r="U544" i="1"/>
  <c r="C541" i="1"/>
  <c r="Y538" i="1"/>
  <c r="T545" i="1" l="1"/>
  <c r="F545" i="1"/>
  <c r="D545" i="1"/>
  <c r="B546" i="1"/>
  <c r="O545" i="1"/>
  <c r="U545" i="1"/>
  <c r="C542" i="1"/>
  <c r="Y539" i="1"/>
  <c r="T546" i="1" l="1"/>
  <c r="F546" i="1"/>
  <c r="D546" i="1"/>
  <c r="B547" i="1"/>
  <c r="O546" i="1"/>
  <c r="U546" i="1"/>
  <c r="C543" i="1"/>
  <c r="Y540" i="1"/>
  <c r="T547" i="1" l="1"/>
  <c r="F547" i="1"/>
  <c r="D547" i="1"/>
  <c r="B548" i="1"/>
  <c r="O547" i="1"/>
  <c r="U547" i="1"/>
  <c r="C544" i="1"/>
  <c r="Y541" i="1"/>
  <c r="T548" i="1" l="1"/>
  <c r="F548" i="1"/>
  <c r="D548" i="1"/>
  <c r="B549" i="1"/>
  <c r="O548" i="1"/>
  <c r="U548" i="1"/>
  <c r="C545" i="1"/>
  <c r="Y542" i="1"/>
  <c r="T549" i="1" l="1"/>
  <c r="F549" i="1"/>
  <c r="D549" i="1"/>
  <c r="B550" i="1"/>
  <c r="O549" i="1"/>
  <c r="U549" i="1"/>
  <c r="C546" i="1"/>
  <c r="Y543" i="1"/>
  <c r="T550" i="1" l="1"/>
  <c r="F550" i="1"/>
  <c r="D550" i="1"/>
  <c r="B551" i="1"/>
  <c r="O550" i="1"/>
  <c r="U550" i="1"/>
  <c r="C547" i="1"/>
  <c r="Y544" i="1"/>
  <c r="T551" i="1" l="1"/>
  <c r="F551" i="1"/>
  <c r="D551" i="1"/>
  <c r="B552" i="1"/>
  <c r="O551" i="1"/>
  <c r="U551" i="1"/>
  <c r="C548" i="1"/>
  <c r="Y545" i="1"/>
  <c r="T552" i="1" l="1"/>
  <c r="F552" i="1"/>
  <c r="D552" i="1"/>
  <c r="B553" i="1"/>
  <c r="O552" i="1"/>
  <c r="U552" i="1"/>
  <c r="C549" i="1"/>
  <c r="Y546" i="1"/>
  <c r="T553" i="1" l="1"/>
  <c r="F553" i="1"/>
  <c r="D553" i="1"/>
  <c r="B554" i="1"/>
  <c r="O553" i="1"/>
  <c r="U553" i="1"/>
  <c r="C550" i="1"/>
  <c r="Y547" i="1"/>
  <c r="T554" i="1" l="1"/>
  <c r="F554" i="1"/>
  <c r="D554" i="1"/>
  <c r="B555" i="1"/>
  <c r="O554" i="1"/>
  <c r="U554" i="1"/>
  <c r="C551" i="1"/>
  <c r="Y548" i="1"/>
  <c r="T555" i="1" l="1"/>
  <c r="F555" i="1"/>
  <c r="D555" i="1"/>
  <c r="B556" i="1"/>
  <c r="O555" i="1"/>
  <c r="U555" i="1"/>
  <c r="C552" i="1"/>
  <c r="Y549" i="1"/>
  <c r="T556" i="1" l="1"/>
  <c r="F556" i="1"/>
  <c r="D556" i="1"/>
  <c r="B557" i="1"/>
  <c r="O556" i="1"/>
  <c r="U556" i="1"/>
  <c r="C553" i="1"/>
  <c r="Y550" i="1"/>
  <c r="T557" i="1" l="1"/>
  <c r="F557" i="1"/>
  <c r="D557" i="1"/>
  <c r="B558" i="1"/>
  <c r="O557" i="1"/>
  <c r="U557" i="1"/>
  <c r="C554" i="1"/>
  <c r="Y551" i="1"/>
  <c r="T558" i="1" l="1"/>
  <c r="F558" i="1"/>
  <c r="D558" i="1"/>
  <c r="B559" i="1"/>
  <c r="O558" i="1"/>
  <c r="U558" i="1"/>
  <c r="C555" i="1"/>
  <c r="Y552" i="1"/>
  <c r="T559" i="1" l="1"/>
  <c r="F559" i="1"/>
  <c r="D559" i="1"/>
  <c r="B560" i="1"/>
  <c r="O559" i="1"/>
  <c r="U559" i="1"/>
  <c r="C556" i="1"/>
  <c r="Y553" i="1"/>
  <c r="T560" i="1" l="1"/>
  <c r="F560" i="1"/>
  <c r="D560" i="1"/>
  <c r="B561" i="1"/>
  <c r="O560" i="1"/>
  <c r="U560" i="1"/>
  <c r="C557" i="1"/>
  <c r="Y554" i="1"/>
  <c r="T561" i="1" l="1"/>
  <c r="F561" i="1"/>
  <c r="D561" i="1"/>
  <c r="B562" i="1"/>
  <c r="O561" i="1"/>
  <c r="U561" i="1"/>
  <c r="C558" i="1"/>
  <c r="Y555" i="1"/>
  <c r="T562" i="1" l="1"/>
  <c r="F562" i="1"/>
  <c r="D562" i="1"/>
  <c r="B563" i="1"/>
  <c r="O562" i="1"/>
  <c r="U562" i="1"/>
  <c r="C559" i="1"/>
  <c r="Y556" i="1"/>
  <c r="T563" i="1" l="1"/>
  <c r="F563" i="1"/>
  <c r="D563" i="1"/>
  <c r="B564" i="1"/>
  <c r="O563" i="1"/>
  <c r="U563" i="1"/>
  <c r="C560" i="1"/>
  <c r="Y557" i="1"/>
  <c r="T564" i="1" l="1"/>
  <c r="F564" i="1"/>
  <c r="D564" i="1"/>
  <c r="B565" i="1"/>
  <c r="O564" i="1"/>
  <c r="U564" i="1"/>
  <c r="C561" i="1"/>
  <c r="Y558" i="1"/>
  <c r="T565" i="1" l="1"/>
  <c r="F565" i="1"/>
  <c r="D565" i="1"/>
  <c r="B566" i="1"/>
  <c r="O565" i="1"/>
  <c r="U565" i="1"/>
  <c r="C562" i="1"/>
  <c r="Y559" i="1"/>
  <c r="T566" i="1" l="1"/>
  <c r="F566" i="1"/>
  <c r="D566" i="1"/>
  <c r="B567" i="1"/>
  <c r="O566" i="1"/>
  <c r="U566" i="1"/>
  <c r="C563" i="1"/>
  <c r="Y560" i="1"/>
  <c r="T567" i="1" l="1"/>
  <c r="F567" i="1"/>
  <c r="D567" i="1"/>
  <c r="B568" i="1"/>
  <c r="O567" i="1"/>
  <c r="U567" i="1"/>
  <c r="C564" i="1"/>
  <c r="Y561" i="1"/>
  <c r="T568" i="1" l="1"/>
  <c r="F568" i="1"/>
  <c r="D568" i="1"/>
  <c r="B569" i="1"/>
  <c r="O568" i="1"/>
  <c r="U568" i="1"/>
  <c r="C565" i="1"/>
  <c r="Y562" i="1"/>
  <c r="T569" i="1" l="1"/>
  <c r="F569" i="1"/>
  <c r="D569" i="1"/>
  <c r="B570" i="1"/>
  <c r="O569" i="1"/>
  <c r="U569" i="1"/>
  <c r="C566" i="1"/>
  <c r="Y563" i="1"/>
  <c r="T570" i="1" l="1"/>
  <c r="F570" i="1"/>
  <c r="D570" i="1"/>
  <c r="B571" i="1"/>
  <c r="O570" i="1"/>
  <c r="U570" i="1"/>
  <c r="C567" i="1"/>
  <c r="Y564" i="1"/>
  <c r="T571" i="1" l="1"/>
  <c r="F571" i="1"/>
  <c r="D571" i="1"/>
  <c r="B572" i="1"/>
  <c r="O571" i="1"/>
  <c r="U571" i="1"/>
  <c r="C568" i="1"/>
  <c r="Y565" i="1"/>
  <c r="T572" i="1" l="1"/>
  <c r="F572" i="1"/>
  <c r="D572" i="1"/>
  <c r="B573" i="1"/>
  <c r="O572" i="1"/>
  <c r="U572" i="1"/>
  <c r="C569" i="1"/>
  <c r="Y566" i="1"/>
  <c r="T573" i="1" l="1"/>
  <c r="F573" i="1"/>
  <c r="D573" i="1"/>
  <c r="B574" i="1"/>
  <c r="O573" i="1"/>
  <c r="U573" i="1"/>
  <c r="C570" i="1"/>
  <c r="Y567" i="1"/>
  <c r="T574" i="1" l="1"/>
  <c r="F574" i="1"/>
  <c r="D574" i="1"/>
  <c r="B575" i="1"/>
  <c r="O574" i="1"/>
  <c r="U574" i="1"/>
  <c r="C571" i="1"/>
  <c r="Y568" i="1"/>
  <c r="T575" i="1" l="1"/>
  <c r="F575" i="1"/>
  <c r="D575" i="1"/>
  <c r="B576" i="1"/>
  <c r="O575" i="1"/>
  <c r="U575" i="1"/>
  <c r="C572" i="1"/>
  <c r="Y569" i="1"/>
  <c r="T576" i="1" l="1"/>
  <c r="F576" i="1"/>
  <c r="D576" i="1"/>
  <c r="B577" i="1"/>
  <c r="O576" i="1"/>
  <c r="U576" i="1"/>
  <c r="C573" i="1"/>
  <c r="Y570" i="1"/>
  <c r="T577" i="1" l="1"/>
  <c r="F577" i="1"/>
  <c r="D577" i="1"/>
  <c r="B578" i="1"/>
  <c r="O577" i="1"/>
  <c r="U577" i="1"/>
  <c r="C574" i="1"/>
  <c r="Y571" i="1"/>
  <c r="T578" i="1" l="1"/>
  <c r="F578" i="1"/>
  <c r="D578" i="1"/>
  <c r="B579" i="1"/>
  <c r="O578" i="1"/>
  <c r="U578" i="1"/>
  <c r="C575" i="1"/>
  <c r="Y572" i="1"/>
  <c r="T579" i="1" l="1"/>
  <c r="F579" i="1"/>
  <c r="D579" i="1"/>
  <c r="B580" i="1"/>
  <c r="O579" i="1"/>
  <c r="U579" i="1"/>
  <c r="C576" i="1"/>
  <c r="Y573" i="1"/>
  <c r="T580" i="1" l="1"/>
  <c r="F580" i="1"/>
  <c r="D580" i="1"/>
  <c r="B581" i="1"/>
  <c r="O580" i="1"/>
  <c r="U580" i="1"/>
  <c r="C577" i="1"/>
  <c r="Y574" i="1"/>
  <c r="T581" i="1" l="1"/>
  <c r="F581" i="1"/>
  <c r="D581" i="1"/>
  <c r="B582" i="1"/>
  <c r="O581" i="1"/>
  <c r="U581" i="1"/>
  <c r="C578" i="1"/>
  <c r="Y575" i="1"/>
  <c r="T582" i="1" l="1"/>
  <c r="F582" i="1"/>
  <c r="D582" i="1"/>
  <c r="B583" i="1"/>
  <c r="O582" i="1"/>
  <c r="U582" i="1"/>
  <c r="C579" i="1"/>
  <c r="Y576" i="1"/>
  <c r="T583" i="1" l="1"/>
  <c r="F583" i="1"/>
  <c r="D583" i="1"/>
  <c r="B584" i="1"/>
  <c r="O583" i="1"/>
  <c r="U583" i="1"/>
  <c r="C580" i="1"/>
  <c r="Y577" i="1"/>
  <c r="T584" i="1" l="1"/>
  <c r="F584" i="1"/>
  <c r="D584" i="1"/>
  <c r="B585" i="1"/>
  <c r="O584" i="1"/>
  <c r="U584" i="1"/>
  <c r="C581" i="1"/>
  <c r="Y578" i="1"/>
  <c r="T585" i="1" l="1"/>
  <c r="F585" i="1"/>
  <c r="D585" i="1"/>
  <c r="B586" i="1"/>
  <c r="O585" i="1"/>
  <c r="U585" i="1"/>
  <c r="C582" i="1"/>
  <c r="Y579" i="1"/>
  <c r="T586" i="1" l="1"/>
  <c r="F586" i="1"/>
  <c r="D586" i="1"/>
  <c r="B587" i="1"/>
  <c r="O586" i="1"/>
  <c r="U586" i="1"/>
  <c r="C583" i="1"/>
  <c r="Y580" i="1"/>
  <c r="T587" i="1" l="1"/>
  <c r="F587" i="1"/>
  <c r="D587" i="1"/>
  <c r="B588" i="1"/>
  <c r="O587" i="1"/>
  <c r="U587" i="1"/>
  <c r="C584" i="1"/>
  <c r="Y581" i="1"/>
  <c r="T588" i="1" l="1"/>
  <c r="F588" i="1"/>
  <c r="D588" i="1"/>
  <c r="B589" i="1"/>
  <c r="O588" i="1"/>
  <c r="U588" i="1"/>
  <c r="C585" i="1"/>
  <c r="Y582" i="1"/>
  <c r="T589" i="1" l="1"/>
  <c r="F589" i="1"/>
  <c r="D589" i="1"/>
  <c r="B590" i="1"/>
  <c r="O589" i="1"/>
  <c r="U589" i="1"/>
  <c r="C586" i="1"/>
  <c r="Y583" i="1"/>
  <c r="T590" i="1" l="1"/>
  <c r="F590" i="1"/>
  <c r="D590" i="1"/>
  <c r="B591" i="1"/>
  <c r="O590" i="1"/>
  <c r="U590" i="1"/>
  <c r="C587" i="1"/>
  <c r="Y584" i="1"/>
  <c r="T591" i="1" l="1"/>
  <c r="F591" i="1"/>
  <c r="D591" i="1"/>
  <c r="B592" i="1"/>
  <c r="O591" i="1"/>
  <c r="U591" i="1"/>
  <c r="C588" i="1"/>
  <c r="Y585" i="1"/>
  <c r="T592" i="1" l="1"/>
  <c r="F592" i="1"/>
  <c r="D592" i="1"/>
  <c r="B593" i="1"/>
  <c r="O592" i="1"/>
  <c r="U592" i="1"/>
  <c r="C589" i="1"/>
  <c r="Y586" i="1"/>
  <c r="T593" i="1" l="1"/>
  <c r="F593" i="1"/>
  <c r="D593" i="1"/>
  <c r="B594" i="1"/>
  <c r="O593" i="1"/>
  <c r="U593" i="1"/>
  <c r="C590" i="1"/>
  <c r="Y587" i="1"/>
  <c r="T594" i="1" l="1"/>
  <c r="F594" i="1"/>
  <c r="D594" i="1"/>
  <c r="B595" i="1"/>
  <c r="O594" i="1"/>
  <c r="U594" i="1"/>
  <c r="C591" i="1"/>
  <c r="Y588" i="1"/>
  <c r="T595" i="1" l="1"/>
  <c r="F595" i="1"/>
  <c r="D595" i="1"/>
  <c r="B596" i="1"/>
  <c r="O595" i="1"/>
  <c r="U595" i="1"/>
  <c r="C592" i="1"/>
  <c r="Y589" i="1"/>
  <c r="T596" i="1" l="1"/>
  <c r="F596" i="1"/>
  <c r="D596" i="1"/>
  <c r="B597" i="1"/>
  <c r="O596" i="1"/>
  <c r="U596" i="1"/>
  <c r="C593" i="1"/>
  <c r="Y590" i="1"/>
  <c r="T597" i="1" l="1"/>
  <c r="F597" i="1"/>
  <c r="D597" i="1"/>
  <c r="B598" i="1"/>
  <c r="O597" i="1"/>
  <c r="U597" i="1"/>
  <c r="C594" i="1"/>
  <c r="Y591" i="1"/>
  <c r="T598" i="1" l="1"/>
  <c r="F598" i="1"/>
  <c r="D598" i="1"/>
  <c r="B599" i="1"/>
  <c r="O598" i="1"/>
  <c r="U598" i="1"/>
  <c r="C595" i="1"/>
  <c r="Y592" i="1"/>
  <c r="T599" i="1" l="1"/>
  <c r="F599" i="1"/>
  <c r="D599" i="1"/>
  <c r="B600" i="1"/>
  <c r="O599" i="1"/>
  <c r="U599" i="1"/>
  <c r="C596" i="1"/>
  <c r="Y593" i="1"/>
  <c r="T600" i="1" l="1"/>
  <c r="F600" i="1"/>
  <c r="D600" i="1"/>
  <c r="B601" i="1"/>
  <c r="O600" i="1"/>
  <c r="U600" i="1"/>
  <c r="C597" i="1"/>
  <c r="Y594" i="1"/>
  <c r="T601" i="1" l="1"/>
  <c r="F601" i="1"/>
  <c r="D601" i="1"/>
  <c r="B602" i="1"/>
  <c r="O601" i="1"/>
  <c r="U601" i="1"/>
  <c r="C598" i="1"/>
  <c r="Y595" i="1"/>
  <c r="T602" i="1" l="1"/>
  <c r="F602" i="1"/>
  <c r="D602" i="1"/>
  <c r="B603" i="1"/>
  <c r="O602" i="1"/>
  <c r="U602" i="1"/>
  <c r="C599" i="1"/>
  <c r="Y596" i="1"/>
  <c r="T603" i="1" l="1"/>
  <c r="F603" i="1"/>
  <c r="D603" i="1"/>
  <c r="B604" i="1"/>
  <c r="O603" i="1"/>
  <c r="U603" i="1"/>
  <c r="C600" i="1"/>
  <c r="Y597" i="1"/>
  <c r="T604" i="1" l="1"/>
  <c r="F604" i="1"/>
  <c r="D604" i="1"/>
  <c r="B605" i="1"/>
  <c r="O604" i="1"/>
  <c r="U604" i="1"/>
  <c r="C601" i="1"/>
  <c r="Y598" i="1"/>
  <c r="T605" i="1" l="1"/>
  <c r="F605" i="1"/>
  <c r="D605" i="1"/>
  <c r="B606" i="1"/>
  <c r="O605" i="1"/>
  <c r="U605" i="1"/>
  <c r="C602" i="1"/>
  <c r="Y599" i="1"/>
  <c r="T606" i="1" l="1"/>
  <c r="F606" i="1"/>
  <c r="D606" i="1"/>
  <c r="B607" i="1"/>
  <c r="O606" i="1"/>
  <c r="U606" i="1"/>
  <c r="C603" i="1"/>
  <c r="Y600" i="1"/>
  <c r="T607" i="1" l="1"/>
  <c r="F607" i="1"/>
  <c r="D607" i="1"/>
  <c r="B608" i="1"/>
  <c r="O607" i="1"/>
  <c r="U607" i="1"/>
  <c r="C604" i="1"/>
  <c r="Y601" i="1"/>
  <c r="T608" i="1" l="1"/>
  <c r="F608" i="1"/>
  <c r="D608" i="1"/>
  <c r="B609" i="1"/>
  <c r="O608" i="1"/>
  <c r="U608" i="1"/>
  <c r="C605" i="1"/>
  <c r="Y602" i="1"/>
  <c r="T609" i="1" l="1"/>
  <c r="F609" i="1"/>
  <c r="D609" i="1"/>
  <c r="B610" i="1"/>
  <c r="O609" i="1"/>
  <c r="U609" i="1"/>
  <c r="C606" i="1"/>
  <c r="Y603" i="1"/>
  <c r="T610" i="1" l="1"/>
  <c r="F610" i="1"/>
  <c r="D610" i="1"/>
  <c r="B611" i="1"/>
  <c r="O610" i="1"/>
  <c r="U610" i="1"/>
  <c r="C607" i="1"/>
  <c r="Y604" i="1"/>
  <c r="T611" i="1" l="1"/>
  <c r="F611" i="1"/>
  <c r="D611" i="1"/>
  <c r="B612" i="1"/>
  <c r="O611" i="1"/>
  <c r="U611" i="1"/>
  <c r="C608" i="1"/>
  <c r="Y605" i="1"/>
  <c r="T612" i="1" l="1"/>
  <c r="F612" i="1"/>
  <c r="D612" i="1"/>
  <c r="B613" i="1"/>
  <c r="O612" i="1"/>
  <c r="U612" i="1"/>
  <c r="C609" i="1"/>
  <c r="Y606" i="1"/>
  <c r="T613" i="1" l="1"/>
  <c r="F613" i="1"/>
  <c r="D613" i="1"/>
  <c r="B614" i="1"/>
  <c r="O613" i="1"/>
  <c r="U613" i="1"/>
  <c r="C610" i="1"/>
  <c r="Y607" i="1"/>
  <c r="T614" i="1" l="1"/>
  <c r="F614" i="1"/>
  <c r="D614" i="1"/>
  <c r="B615" i="1"/>
  <c r="O614" i="1"/>
  <c r="U614" i="1"/>
  <c r="C611" i="1"/>
  <c r="Y608" i="1"/>
  <c r="T615" i="1" l="1"/>
  <c r="F615" i="1"/>
  <c r="D615" i="1"/>
  <c r="B616" i="1"/>
  <c r="O615" i="1"/>
  <c r="U615" i="1"/>
  <c r="C612" i="1"/>
  <c r="Y609" i="1"/>
  <c r="T616" i="1" l="1"/>
  <c r="F616" i="1"/>
  <c r="D616" i="1"/>
  <c r="B617" i="1"/>
  <c r="O616" i="1"/>
  <c r="U616" i="1"/>
  <c r="C613" i="1"/>
  <c r="Y610" i="1"/>
  <c r="T617" i="1" l="1"/>
  <c r="F617" i="1"/>
  <c r="D617" i="1"/>
  <c r="B618" i="1"/>
  <c r="O617" i="1"/>
  <c r="U617" i="1"/>
  <c r="C614" i="1"/>
  <c r="Y611" i="1"/>
  <c r="T618" i="1" l="1"/>
  <c r="F618" i="1"/>
  <c r="D618" i="1"/>
  <c r="B619" i="1"/>
  <c r="O618" i="1"/>
  <c r="U618" i="1"/>
  <c r="C615" i="1"/>
  <c r="Y612" i="1"/>
  <c r="T619" i="1" l="1"/>
  <c r="F619" i="1"/>
  <c r="D619" i="1"/>
  <c r="B620" i="1"/>
  <c r="O619" i="1"/>
  <c r="U619" i="1"/>
  <c r="C616" i="1"/>
  <c r="Y613" i="1"/>
  <c r="T620" i="1" l="1"/>
  <c r="F620" i="1"/>
  <c r="D620" i="1"/>
  <c r="B621" i="1"/>
  <c r="O620" i="1"/>
  <c r="U620" i="1"/>
  <c r="C617" i="1"/>
  <c r="Y614" i="1"/>
  <c r="T621" i="1" l="1"/>
  <c r="F621" i="1"/>
  <c r="D621" i="1"/>
  <c r="B622" i="1"/>
  <c r="O621" i="1"/>
  <c r="U621" i="1"/>
  <c r="C618" i="1"/>
  <c r="Y615" i="1"/>
  <c r="T622" i="1" l="1"/>
  <c r="F622" i="1"/>
  <c r="D622" i="1"/>
  <c r="B623" i="1"/>
  <c r="O622" i="1"/>
  <c r="U622" i="1"/>
  <c r="C619" i="1"/>
  <c r="Y616" i="1"/>
  <c r="T623" i="1" l="1"/>
  <c r="F623" i="1"/>
  <c r="D623" i="1"/>
  <c r="B624" i="1"/>
  <c r="O623" i="1"/>
  <c r="U623" i="1"/>
  <c r="C620" i="1"/>
  <c r="Y617" i="1"/>
  <c r="T624" i="1" l="1"/>
  <c r="F624" i="1"/>
  <c r="D624" i="1"/>
  <c r="B625" i="1"/>
  <c r="O624" i="1"/>
  <c r="U624" i="1"/>
  <c r="C621" i="1"/>
  <c r="Y618" i="1"/>
  <c r="T625" i="1" l="1"/>
  <c r="F625" i="1"/>
  <c r="D625" i="1"/>
  <c r="B626" i="1"/>
  <c r="O625" i="1"/>
  <c r="U625" i="1"/>
  <c r="C622" i="1"/>
  <c r="Y619" i="1"/>
  <c r="T626" i="1" l="1"/>
  <c r="F626" i="1"/>
  <c r="D626" i="1"/>
  <c r="B627" i="1"/>
  <c r="O626" i="1"/>
  <c r="U626" i="1"/>
  <c r="C623" i="1"/>
  <c r="Y620" i="1"/>
  <c r="T627" i="1" l="1"/>
  <c r="F627" i="1"/>
  <c r="D627" i="1"/>
  <c r="B628" i="1"/>
  <c r="O627" i="1"/>
  <c r="U627" i="1"/>
  <c r="C624" i="1"/>
  <c r="Y621" i="1"/>
  <c r="T628" i="1" l="1"/>
  <c r="F628" i="1"/>
  <c r="D628" i="1"/>
  <c r="B629" i="1"/>
  <c r="O628" i="1"/>
  <c r="U628" i="1"/>
  <c r="C625" i="1"/>
  <c r="Y622" i="1"/>
  <c r="T629" i="1" l="1"/>
  <c r="F629" i="1"/>
  <c r="D629" i="1"/>
  <c r="B630" i="1"/>
  <c r="O629" i="1"/>
  <c r="U629" i="1"/>
  <c r="C626" i="1"/>
  <c r="Y623" i="1"/>
  <c r="T630" i="1" l="1"/>
  <c r="F630" i="1"/>
  <c r="D630" i="1"/>
  <c r="B631" i="1"/>
  <c r="O630" i="1"/>
  <c r="U630" i="1"/>
  <c r="C627" i="1"/>
  <c r="Y624" i="1"/>
  <c r="T631" i="1" l="1"/>
  <c r="F631" i="1"/>
  <c r="D631" i="1"/>
  <c r="B632" i="1"/>
  <c r="O631" i="1"/>
  <c r="U631" i="1"/>
  <c r="C628" i="1"/>
  <c r="Y625" i="1"/>
  <c r="T632" i="1" l="1"/>
  <c r="F632" i="1"/>
  <c r="D632" i="1"/>
  <c r="B633" i="1"/>
  <c r="O632" i="1"/>
  <c r="U632" i="1"/>
  <c r="C629" i="1"/>
  <c r="Y626" i="1"/>
  <c r="T633" i="1" l="1"/>
  <c r="F633" i="1"/>
  <c r="D633" i="1"/>
  <c r="B634" i="1"/>
  <c r="O633" i="1"/>
  <c r="U633" i="1"/>
  <c r="C630" i="1"/>
  <c r="Y627" i="1"/>
  <c r="T634" i="1" l="1"/>
  <c r="F634" i="1"/>
  <c r="D634" i="1"/>
  <c r="B635" i="1"/>
  <c r="O634" i="1"/>
  <c r="U634" i="1"/>
  <c r="C631" i="1"/>
  <c r="Y628" i="1"/>
  <c r="T635" i="1" l="1"/>
  <c r="F635" i="1"/>
  <c r="D635" i="1"/>
  <c r="B636" i="1"/>
  <c r="O635" i="1"/>
  <c r="U635" i="1"/>
  <c r="C632" i="1"/>
  <c r="Y629" i="1"/>
  <c r="T636" i="1" l="1"/>
  <c r="F636" i="1"/>
  <c r="D636" i="1"/>
  <c r="B637" i="1"/>
  <c r="O636" i="1"/>
  <c r="U636" i="1"/>
  <c r="C633" i="1"/>
  <c r="Y630" i="1"/>
  <c r="T637" i="1" l="1"/>
  <c r="F637" i="1"/>
  <c r="D637" i="1"/>
  <c r="B638" i="1"/>
  <c r="O637" i="1"/>
  <c r="U637" i="1"/>
  <c r="C634" i="1"/>
  <c r="Y631" i="1"/>
  <c r="T638" i="1" l="1"/>
  <c r="F638" i="1"/>
  <c r="D638" i="1"/>
  <c r="B639" i="1"/>
  <c r="O638" i="1"/>
  <c r="U638" i="1"/>
  <c r="C635" i="1"/>
  <c r="Y632" i="1"/>
  <c r="T639" i="1" l="1"/>
  <c r="F639" i="1"/>
  <c r="D639" i="1"/>
  <c r="B640" i="1"/>
  <c r="O639" i="1"/>
  <c r="U639" i="1"/>
  <c r="C636" i="1"/>
  <c r="Y633" i="1"/>
  <c r="T640" i="1" l="1"/>
  <c r="F640" i="1"/>
  <c r="D640" i="1"/>
  <c r="B641" i="1"/>
  <c r="O640" i="1"/>
  <c r="U640" i="1"/>
  <c r="C637" i="1"/>
  <c r="Y634" i="1"/>
  <c r="T641" i="1" l="1"/>
  <c r="F641" i="1"/>
  <c r="D641" i="1"/>
  <c r="B642" i="1"/>
  <c r="O641" i="1"/>
  <c r="U641" i="1"/>
  <c r="C638" i="1"/>
  <c r="Y635" i="1"/>
  <c r="T642" i="1" l="1"/>
  <c r="F642" i="1"/>
  <c r="D642" i="1"/>
  <c r="B643" i="1"/>
  <c r="O642" i="1"/>
  <c r="U642" i="1"/>
  <c r="C639" i="1"/>
  <c r="Y636" i="1"/>
  <c r="T643" i="1" l="1"/>
  <c r="F643" i="1"/>
  <c r="D643" i="1"/>
  <c r="B644" i="1"/>
  <c r="O643" i="1"/>
  <c r="U643" i="1"/>
  <c r="C640" i="1"/>
  <c r="Y637" i="1"/>
  <c r="T644" i="1" l="1"/>
  <c r="F644" i="1"/>
  <c r="D644" i="1"/>
  <c r="B645" i="1"/>
  <c r="O644" i="1"/>
  <c r="U644" i="1"/>
  <c r="C641" i="1"/>
  <c r="Y638" i="1"/>
  <c r="T645" i="1" l="1"/>
  <c r="F645" i="1"/>
  <c r="D645" i="1"/>
  <c r="B646" i="1"/>
  <c r="O645" i="1"/>
  <c r="U645" i="1"/>
  <c r="C642" i="1"/>
  <c r="Y639" i="1"/>
  <c r="T646" i="1" l="1"/>
  <c r="F646" i="1"/>
  <c r="D646" i="1"/>
  <c r="B647" i="1"/>
  <c r="O646" i="1"/>
  <c r="U646" i="1"/>
  <c r="C643" i="1"/>
  <c r="Y640" i="1"/>
  <c r="T647" i="1" l="1"/>
  <c r="F647" i="1"/>
  <c r="D647" i="1"/>
  <c r="B648" i="1"/>
  <c r="O647" i="1"/>
  <c r="U647" i="1"/>
  <c r="C644" i="1"/>
  <c r="Y641" i="1"/>
  <c r="T648" i="1" l="1"/>
  <c r="F648" i="1"/>
  <c r="D648" i="1"/>
  <c r="B649" i="1"/>
  <c r="O648" i="1"/>
  <c r="U648" i="1"/>
  <c r="C645" i="1"/>
  <c r="Y642" i="1"/>
  <c r="T649" i="1" l="1"/>
  <c r="F649" i="1"/>
  <c r="D649" i="1"/>
  <c r="B650" i="1"/>
  <c r="O649" i="1"/>
  <c r="U649" i="1"/>
  <c r="C646" i="1"/>
  <c r="Y643" i="1"/>
  <c r="T650" i="1" l="1"/>
  <c r="F650" i="1"/>
  <c r="D650" i="1"/>
  <c r="B651" i="1"/>
  <c r="O650" i="1"/>
  <c r="U650" i="1"/>
  <c r="C647" i="1"/>
  <c r="Y644" i="1"/>
  <c r="T651" i="1" l="1"/>
  <c r="F651" i="1"/>
  <c r="D651" i="1"/>
  <c r="B652" i="1"/>
  <c r="O651" i="1"/>
  <c r="U651" i="1"/>
  <c r="C648" i="1"/>
  <c r="Y645" i="1"/>
  <c r="T652" i="1" l="1"/>
  <c r="F652" i="1"/>
  <c r="D652" i="1"/>
  <c r="B653" i="1"/>
  <c r="O652" i="1"/>
  <c r="U652" i="1"/>
  <c r="C649" i="1"/>
  <c r="Y646" i="1"/>
  <c r="T653" i="1" l="1"/>
  <c r="F653" i="1"/>
  <c r="D653" i="1"/>
  <c r="B654" i="1"/>
  <c r="O653" i="1"/>
  <c r="U653" i="1"/>
  <c r="C650" i="1"/>
  <c r="Y647" i="1"/>
  <c r="T654" i="1" l="1"/>
  <c r="F654" i="1"/>
  <c r="D654" i="1"/>
  <c r="B655" i="1"/>
  <c r="O654" i="1"/>
  <c r="U654" i="1"/>
  <c r="C651" i="1"/>
  <c r="Y648" i="1"/>
  <c r="T655" i="1" l="1"/>
  <c r="F655" i="1"/>
  <c r="D655" i="1"/>
  <c r="B656" i="1"/>
  <c r="O655" i="1"/>
  <c r="U655" i="1"/>
  <c r="C652" i="1"/>
  <c r="Y649" i="1"/>
  <c r="T656" i="1" l="1"/>
  <c r="F656" i="1"/>
  <c r="D656" i="1"/>
  <c r="B657" i="1"/>
  <c r="O656" i="1"/>
  <c r="U656" i="1"/>
  <c r="C653" i="1"/>
  <c r="Y650" i="1"/>
  <c r="T657" i="1" l="1"/>
  <c r="F657" i="1"/>
  <c r="D657" i="1"/>
  <c r="B658" i="1"/>
  <c r="O657" i="1"/>
  <c r="U657" i="1"/>
  <c r="C654" i="1"/>
  <c r="Y651" i="1"/>
  <c r="T658" i="1" l="1"/>
  <c r="F658" i="1"/>
  <c r="D658" i="1"/>
  <c r="B659" i="1"/>
  <c r="O658" i="1"/>
  <c r="U658" i="1"/>
  <c r="C655" i="1"/>
  <c r="Y652" i="1"/>
  <c r="T659" i="1" l="1"/>
  <c r="F659" i="1"/>
  <c r="D659" i="1"/>
  <c r="B660" i="1"/>
  <c r="O659" i="1"/>
  <c r="U659" i="1"/>
  <c r="C656" i="1"/>
  <c r="Y653" i="1"/>
  <c r="T660" i="1" l="1"/>
  <c r="F660" i="1"/>
  <c r="D660" i="1"/>
  <c r="B661" i="1"/>
  <c r="O660" i="1"/>
  <c r="U660" i="1"/>
  <c r="C657" i="1"/>
  <c r="Y654" i="1"/>
  <c r="T661" i="1" l="1"/>
  <c r="F661" i="1"/>
  <c r="D661" i="1"/>
  <c r="B662" i="1"/>
  <c r="O661" i="1"/>
  <c r="U661" i="1"/>
  <c r="C658" i="1"/>
  <c r="Y655" i="1"/>
  <c r="T662" i="1" l="1"/>
  <c r="F662" i="1"/>
  <c r="D662" i="1"/>
  <c r="B663" i="1"/>
  <c r="O662" i="1"/>
  <c r="U662" i="1"/>
  <c r="C659" i="1"/>
  <c r="Y656" i="1"/>
  <c r="T663" i="1" l="1"/>
  <c r="F663" i="1"/>
  <c r="D663" i="1"/>
  <c r="B664" i="1"/>
  <c r="O663" i="1"/>
  <c r="U663" i="1"/>
  <c r="C660" i="1"/>
  <c r="Y657" i="1"/>
  <c r="T664" i="1" l="1"/>
  <c r="F664" i="1"/>
  <c r="D664" i="1"/>
  <c r="B665" i="1"/>
  <c r="O664" i="1"/>
  <c r="U664" i="1"/>
  <c r="C661" i="1"/>
  <c r="Y658" i="1"/>
  <c r="T665" i="1" l="1"/>
  <c r="F665" i="1"/>
  <c r="D665" i="1"/>
  <c r="B666" i="1"/>
  <c r="O665" i="1"/>
  <c r="U665" i="1"/>
  <c r="C662" i="1"/>
  <c r="Y659" i="1"/>
  <c r="T666" i="1" l="1"/>
  <c r="F666" i="1"/>
  <c r="D666" i="1"/>
  <c r="B667" i="1"/>
  <c r="O666" i="1"/>
  <c r="U666" i="1"/>
  <c r="C663" i="1"/>
  <c r="Y660" i="1"/>
  <c r="T667" i="1" l="1"/>
  <c r="F667" i="1"/>
  <c r="D667" i="1"/>
  <c r="B668" i="1"/>
  <c r="O667" i="1"/>
  <c r="U667" i="1"/>
  <c r="C664" i="1"/>
  <c r="Y661" i="1"/>
  <c r="T668" i="1" l="1"/>
  <c r="F668" i="1"/>
  <c r="D668" i="1"/>
  <c r="B669" i="1"/>
  <c r="O668" i="1"/>
  <c r="U668" i="1"/>
  <c r="C665" i="1"/>
  <c r="Y662" i="1"/>
  <c r="T669" i="1" l="1"/>
  <c r="F669" i="1"/>
  <c r="D669" i="1"/>
  <c r="B670" i="1"/>
  <c r="O669" i="1"/>
  <c r="U669" i="1"/>
  <c r="C666" i="1"/>
  <c r="Y663" i="1"/>
  <c r="T670" i="1" l="1"/>
  <c r="F670" i="1"/>
  <c r="D670" i="1"/>
  <c r="B671" i="1"/>
  <c r="O670" i="1"/>
  <c r="U670" i="1"/>
  <c r="C667" i="1"/>
  <c r="Y664" i="1"/>
  <c r="T671" i="1" l="1"/>
  <c r="F671" i="1"/>
  <c r="D671" i="1"/>
  <c r="B672" i="1"/>
  <c r="O671" i="1"/>
  <c r="U671" i="1"/>
  <c r="C668" i="1"/>
  <c r="Y665" i="1"/>
  <c r="T672" i="1" l="1"/>
  <c r="F672" i="1"/>
  <c r="D672" i="1"/>
  <c r="B673" i="1"/>
  <c r="O672" i="1"/>
  <c r="U672" i="1"/>
  <c r="C669" i="1"/>
  <c r="Y666" i="1"/>
  <c r="T673" i="1" l="1"/>
  <c r="F673" i="1"/>
  <c r="D673" i="1"/>
  <c r="B674" i="1"/>
  <c r="O673" i="1"/>
  <c r="U673" i="1"/>
  <c r="C670" i="1"/>
  <c r="Y667" i="1"/>
  <c r="T674" i="1" l="1"/>
  <c r="F674" i="1"/>
  <c r="D674" i="1"/>
  <c r="B675" i="1"/>
  <c r="O674" i="1"/>
  <c r="U674" i="1"/>
  <c r="C671" i="1"/>
  <c r="Y668" i="1"/>
  <c r="T675" i="1" l="1"/>
  <c r="F675" i="1"/>
  <c r="D675" i="1"/>
  <c r="B676" i="1"/>
  <c r="O675" i="1"/>
  <c r="U675" i="1"/>
  <c r="C672" i="1"/>
  <c r="Y669" i="1"/>
  <c r="T676" i="1" l="1"/>
  <c r="F676" i="1"/>
  <c r="D676" i="1"/>
  <c r="B677" i="1"/>
  <c r="O676" i="1"/>
  <c r="U676" i="1"/>
  <c r="C673" i="1"/>
  <c r="Y670" i="1"/>
  <c r="T677" i="1" l="1"/>
  <c r="F677" i="1"/>
  <c r="D677" i="1"/>
  <c r="B678" i="1"/>
  <c r="O677" i="1"/>
  <c r="U677" i="1"/>
  <c r="C674" i="1"/>
  <c r="Y671" i="1"/>
  <c r="T678" i="1" l="1"/>
  <c r="F678" i="1"/>
  <c r="D678" i="1"/>
  <c r="B679" i="1"/>
  <c r="O678" i="1"/>
  <c r="U678" i="1"/>
  <c r="C675" i="1"/>
  <c r="Y672" i="1"/>
  <c r="T679" i="1" l="1"/>
  <c r="F679" i="1"/>
  <c r="D679" i="1"/>
  <c r="B680" i="1"/>
  <c r="O679" i="1"/>
  <c r="U679" i="1"/>
  <c r="C676" i="1"/>
  <c r="Y673" i="1"/>
  <c r="T680" i="1" l="1"/>
  <c r="F680" i="1"/>
  <c r="D680" i="1"/>
  <c r="B681" i="1"/>
  <c r="O680" i="1"/>
  <c r="U680" i="1"/>
  <c r="C677" i="1"/>
  <c r="Y674" i="1"/>
  <c r="T681" i="1" l="1"/>
  <c r="F681" i="1"/>
  <c r="D681" i="1"/>
  <c r="B682" i="1"/>
  <c r="O681" i="1"/>
  <c r="U681" i="1"/>
  <c r="C678" i="1"/>
  <c r="Y675" i="1"/>
  <c r="T682" i="1" l="1"/>
  <c r="F682" i="1"/>
  <c r="D682" i="1"/>
  <c r="B683" i="1"/>
  <c r="O682" i="1"/>
  <c r="U682" i="1"/>
  <c r="C679" i="1"/>
  <c r="Y676" i="1"/>
  <c r="T683" i="1" l="1"/>
  <c r="F683" i="1"/>
  <c r="D683" i="1"/>
  <c r="B684" i="1"/>
  <c r="O683" i="1"/>
  <c r="U683" i="1"/>
  <c r="C680" i="1"/>
  <c r="Y677" i="1"/>
  <c r="T684" i="1" l="1"/>
  <c r="F684" i="1"/>
  <c r="D684" i="1"/>
  <c r="B685" i="1"/>
  <c r="O684" i="1"/>
  <c r="U684" i="1"/>
  <c r="C681" i="1"/>
  <c r="Y678" i="1"/>
  <c r="T685" i="1" l="1"/>
  <c r="F685" i="1"/>
  <c r="D685" i="1"/>
  <c r="B686" i="1"/>
  <c r="O685" i="1"/>
  <c r="U685" i="1"/>
  <c r="C682" i="1"/>
  <c r="Y679" i="1"/>
  <c r="T686" i="1" l="1"/>
  <c r="F686" i="1"/>
  <c r="D686" i="1"/>
  <c r="B687" i="1"/>
  <c r="O686" i="1"/>
  <c r="U686" i="1"/>
  <c r="C683" i="1"/>
  <c r="Y680" i="1"/>
  <c r="T687" i="1" l="1"/>
  <c r="F687" i="1"/>
  <c r="D687" i="1"/>
  <c r="B688" i="1"/>
  <c r="O687" i="1"/>
  <c r="U687" i="1"/>
  <c r="C684" i="1"/>
  <c r="Y681" i="1"/>
  <c r="T688" i="1" l="1"/>
  <c r="F688" i="1"/>
  <c r="D688" i="1"/>
  <c r="B689" i="1"/>
  <c r="O688" i="1"/>
  <c r="U688" i="1"/>
  <c r="C685" i="1"/>
  <c r="Y682" i="1"/>
  <c r="T689" i="1" l="1"/>
  <c r="F689" i="1"/>
  <c r="D689" i="1"/>
  <c r="B690" i="1"/>
  <c r="O689" i="1"/>
  <c r="U689" i="1"/>
  <c r="C686" i="1"/>
  <c r="Y683" i="1"/>
  <c r="T690" i="1" l="1"/>
  <c r="F690" i="1"/>
  <c r="D690" i="1"/>
  <c r="B691" i="1"/>
  <c r="O690" i="1"/>
  <c r="U690" i="1"/>
  <c r="C687" i="1"/>
  <c r="Y684" i="1"/>
  <c r="T691" i="1" l="1"/>
  <c r="F691" i="1"/>
  <c r="D691" i="1"/>
  <c r="B692" i="1"/>
  <c r="O691" i="1"/>
  <c r="U691" i="1"/>
  <c r="C688" i="1"/>
  <c r="Y685" i="1"/>
  <c r="T692" i="1" l="1"/>
  <c r="F692" i="1"/>
  <c r="D692" i="1"/>
  <c r="B693" i="1"/>
  <c r="O692" i="1"/>
  <c r="U692" i="1"/>
  <c r="C689" i="1"/>
  <c r="Y686" i="1"/>
  <c r="T693" i="1" l="1"/>
  <c r="F693" i="1"/>
  <c r="D693" i="1"/>
  <c r="B694" i="1"/>
  <c r="O693" i="1"/>
  <c r="U693" i="1"/>
  <c r="C690" i="1"/>
  <c r="Y687" i="1"/>
  <c r="T694" i="1" l="1"/>
  <c r="F694" i="1"/>
  <c r="D694" i="1"/>
  <c r="B695" i="1"/>
  <c r="O694" i="1"/>
  <c r="U694" i="1"/>
  <c r="C691" i="1"/>
  <c r="Y688" i="1"/>
  <c r="T695" i="1" l="1"/>
  <c r="F695" i="1"/>
  <c r="D695" i="1"/>
  <c r="B696" i="1"/>
  <c r="O695" i="1"/>
  <c r="U695" i="1"/>
  <c r="C692" i="1"/>
  <c r="Y689" i="1"/>
  <c r="T696" i="1" l="1"/>
  <c r="F696" i="1"/>
  <c r="D696" i="1"/>
  <c r="B697" i="1"/>
  <c r="O696" i="1"/>
  <c r="U696" i="1"/>
  <c r="C693" i="1"/>
  <c r="Y690" i="1"/>
  <c r="T697" i="1" l="1"/>
  <c r="F697" i="1"/>
  <c r="D697" i="1"/>
  <c r="B698" i="1"/>
  <c r="O697" i="1"/>
  <c r="U697" i="1"/>
  <c r="C694" i="1"/>
  <c r="Y691" i="1"/>
  <c r="T698" i="1" l="1"/>
  <c r="F698" i="1"/>
  <c r="D698" i="1"/>
  <c r="B699" i="1"/>
  <c r="O698" i="1"/>
  <c r="U698" i="1"/>
  <c r="C695" i="1"/>
  <c r="Y692" i="1"/>
  <c r="T699" i="1" l="1"/>
  <c r="F699" i="1"/>
  <c r="D699" i="1"/>
  <c r="B700" i="1"/>
  <c r="O699" i="1"/>
  <c r="U699" i="1"/>
  <c r="C696" i="1"/>
  <c r="Y693" i="1"/>
  <c r="T700" i="1" l="1"/>
  <c r="F700" i="1"/>
  <c r="D700" i="1"/>
  <c r="B701" i="1"/>
  <c r="O700" i="1"/>
  <c r="U700" i="1"/>
  <c r="C697" i="1"/>
  <c r="Y694" i="1"/>
  <c r="T701" i="1" l="1"/>
  <c r="F701" i="1"/>
  <c r="D701" i="1"/>
  <c r="B702" i="1"/>
  <c r="O701" i="1"/>
  <c r="U701" i="1"/>
  <c r="C698" i="1"/>
  <c r="Y695" i="1"/>
  <c r="T702" i="1" l="1"/>
  <c r="F702" i="1"/>
  <c r="D702" i="1"/>
  <c r="B703" i="1"/>
  <c r="O702" i="1"/>
  <c r="U702" i="1"/>
  <c r="C699" i="1"/>
  <c r="Y696" i="1"/>
  <c r="T703" i="1" l="1"/>
  <c r="F703" i="1"/>
  <c r="D703" i="1"/>
  <c r="B704" i="1"/>
  <c r="O703" i="1"/>
  <c r="U703" i="1"/>
  <c r="C700" i="1"/>
  <c r="Y697" i="1"/>
  <c r="T704" i="1" l="1"/>
  <c r="F704" i="1"/>
  <c r="D704" i="1"/>
  <c r="B705" i="1"/>
  <c r="O704" i="1"/>
  <c r="U704" i="1"/>
  <c r="C701" i="1"/>
  <c r="Y698" i="1"/>
  <c r="T705" i="1" l="1"/>
  <c r="F705" i="1"/>
  <c r="D705" i="1"/>
  <c r="B706" i="1"/>
  <c r="O705" i="1"/>
  <c r="U705" i="1"/>
  <c r="C702" i="1"/>
  <c r="Y699" i="1"/>
  <c r="T706" i="1" l="1"/>
  <c r="F706" i="1"/>
  <c r="D706" i="1"/>
  <c r="B707" i="1"/>
  <c r="O706" i="1"/>
  <c r="U706" i="1"/>
  <c r="C703" i="1"/>
  <c r="Y700" i="1"/>
  <c r="T707" i="1" l="1"/>
  <c r="F707" i="1"/>
  <c r="D707" i="1"/>
  <c r="B708" i="1"/>
  <c r="O707" i="1"/>
  <c r="U707" i="1"/>
  <c r="C704" i="1"/>
  <c r="Y701" i="1"/>
  <c r="T708" i="1" l="1"/>
  <c r="F708" i="1"/>
  <c r="D708" i="1"/>
  <c r="B709" i="1"/>
  <c r="O708" i="1"/>
  <c r="U708" i="1"/>
  <c r="C705" i="1"/>
  <c r="Y702" i="1"/>
  <c r="T709" i="1" l="1"/>
  <c r="F709" i="1"/>
  <c r="D709" i="1"/>
  <c r="B710" i="1"/>
  <c r="O709" i="1"/>
  <c r="U709" i="1"/>
  <c r="C706" i="1"/>
  <c r="Y703" i="1"/>
  <c r="T710" i="1" l="1"/>
  <c r="F710" i="1"/>
  <c r="D710" i="1"/>
  <c r="B711" i="1"/>
  <c r="O710" i="1"/>
  <c r="U710" i="1"/>
  <c r="C707" i="1"/>
  <c r="Y704" i="1"/>
  <c r="T711" i="1" l="1"/>
  <c r="F711" i="1"/>
  <c r="D711" i="1"/>
  <c r="B712" i="1"/>
  <c r="O711" i="1"/>
  <c r="U711" i="1"/>
  <c r="C708" i="1"/>
  <c r="Y705" i="1"/>
  <c r="T712" i="1" l="1"/>
  <c r="F712" i="1"/>
  <c r="D712" i="1"/>
  <c r="B713" i="1"/>
  <c r="O712" i="1"/>
  <c r="U712" i="1"/>
  <c r="C709" i="1"/>
  <c r="Y706" i="1"/>
  <c r="T713" i="1" l="1"/>
  <c r="F713" i="1"/>
  <c r="D713" i="1"/>
  <c r="B714" i="1"/>
  <c r="O713" i="1"/>
  <c r="U713" i="1"/>
  <c r="C710" i="1"/>
  <c r="Y707" i="1"/>
  <c r="T714" i="1" l="1"/>
  <c r="F714" i="1"/>
  <c r="D714" i="1"/>
  <c r="B715" i="1"/>
  <c r="O714" i="1"/>
  <c r="U714" i="1"/>
  <c r="C711" i="1"/>
  <c r="Y708" i="1"/>
  <c r="T715" i="1" l="1"/>
  <c r="F715" i="1"/>
  <c r="D715" i="1"/>
  <c r="B716" i="1"/>
  <c r="O715" i="1"/>
  <c r="U715" i="1"/>
  <c r="C712" i="1"/>
  <c r="Y709" i="1"/>
  <c r="T716" i="1" l="1"/>
  <c r="F716" i="1"/>
  <c r="D716" i="1"/>
  <c r="B717" i="1"/>
  <c r="O716" i="1"/>
  <c r="U716" i="1"/>
  <c r="C713" i="1"/>
  <c r="Y710" i="1"/>
  <c r="T717" i="1" l="1"/>
  <c r="F717" i="1"/>
  <c r="D717" i="1"/>
  <c r="B718" i="1"/>
  <c r="O717" i="1"/>
  <c r="U717" i="1"/>
  <c r="C714" i="1"/>
  <c r="Y711" i="1"/>
  <c r="T718" i="1" l="1"/>
  <c r="F718" i="1"/>
  <c r="D718" i="1"/>
  <c r="B719" i="1"/>
  <c r="O718" i="1"/>
  <c r="U718" i="1"/>
  <c r="C715" i="1"/>
  <c r="Y712" i="1"/>
  <c r="T719" i="1" l="1"/>
  <c r="F719" i="1"/>
  <c r="D719" i="1"/>
  <c r="B720" i="1"/>
  <c r="O719" i="1"/>
  <c r="U719" i="1"/>
  <c r="C716" i="1"/>
  <c r="Y713" i="1"/>
  <c r="T720" i="1" l="1"/>
  <c r="F720" i="1"/>
  <c r="D720" i="1"/>
  <c r="B721" i="1"/>
  <c r="O720" i="1"/>
  <c r="U720" i="1"/>
  <c r="C717" i="1"/>
  <c r="Y714" i="1"/>
  <c r="T721" i="1" l="1"/>
  <c r="F721" i="1"/>
  <c r="D721" i="1"/>
  <c r="B722" i="1"/>
  <c r="O721" i="1"/>
  <c r="U721" i="1"/>
  <c r="C718" i="1"/>
  <c r="Y715" i="1"/>
  <c r="T722" i="1" l="1"/>
  <c r="F722" i="1"/>
  <c r="D722" i="1"/>
  <c r="B723" i="1"/>
  <c r="O722" i="1"/>
  <c r="U722" i="1"/>
  <c r="C719" i="1"/>
  <c r="Y716" i="1"/>
  <c r="T723" i="1" l="1"/>
  <c r="F723" i="1"/>
  <c r="D723" i="1"/>
  <c r="B724" i="1"/>
  <c r="O723" i="1"/>
  <c r="U723" i="1"/>
  <c r="C720" i="1"/>
  <c r="Y717" i="1"/>
  <c r="T724" i="1" l="1"/>
  <c r="F724" i="1"/>
  <c r="D724" i="1"/>
  <c r="B725" i="1"/>
  <c r="O724" i="1"/>
  <c r="U724" i="1"/>
  <c r="C721" i="1"/>
  <c r="Y718" i="1"/>
  <c r="T725" i="1" l="1"/>
  <c r="F725" i="1"/>
  <c r="D725" i="1"/>
  <c r="B726" i="1"/>
  <c r="O725" i="1"/>
  <c r="U725" i="1"/>
  <c r="C722" i="1"/>
  <c r="Y719" i="1"/>
  <c r="T726" i="1" l="1"/>
  <c r="F726" i="1"/>
  <c r="D726" i="1"/>
  <c r="B727" i="1"/>
  <c r="O726" i="1"/>
  <c r="U726" i="1"/>
  <c r="C723" i="1"/>
  <c r="Y720" i="1"/>
  <c r="T727" i="1" l="1"/>
  <c r="F727" i="1"/>
  <c r="D727" i="1"/>
  <c r="B728" i="1"/>
  <c r="O727" i="1"/>
  <c r="U727" i="1"/>
  <c r="C724" i="1"/>
  <c r="Y721" i="1"/>
  <c r="T728" i="1" l="1"/>
  <c r="F728" i="1"/>
  <c r="D728" i="1"/>
  <c r="B729" i="1"/>
  <c r="O728" i="1"/>
  <c r="U728" i="1"/>
  <c r="C725" i="1"/>
  <c r="Y722" i="1"/>
  <c r="T729" i="1" l="1"/>
  <c r="F729" i="1"/>
  <c r="D729" i="1"/>
  <c r="B730" i="1"/>
  <c r="O729" i="1"/>
  <c r="U729" i="1"/>
  <c r="C726" i="1"/>
  <c r="Y723" i="1"/>
  <c r="T730" i="1" l="1"/>
  <c r="F730" i="1"/>
  <c r="D730" i="1"/>
  <c r="B731" i="1"/>
  <c r="O730" i="1"/>
  <c r="U730" i="1"/>
  <c r="C727" i="1"/>
  <c r="Y724" i="1"/>
  <c r="T731" i="1" l="1"/>
  <c r="F731" i="1"/>
  <c r="D731" i="1"/>
  <c r="B732" i="1"/>
  <c r="O731" i="1"/>
  <c r="U731" i="1"/>
  <c r="C728" i="1"/>
  <c r="Y725" i="1"/>
  <c r="T732" i="1" l="1"/>
  <c r="F732" i="1"/>
  <c r="D732" i="1"/>
  <c r="B733" i="1"/>
  <c r="O732" i="1"/>
  <c r="U732" i="1"/>
  <c r="C729" i="1"/>
  <c r="Y726" i="1"/>
  <c r="T733" i="1" l="1"/>
  <c r="F733" i="1"/>
  <c r="D733" i="1"/>
  <c r="B734" i="1"/>
  <c r="O733" i="1"/>
  <c r="U733" i="1"/>
  <c r="C730" i="1"/>
  <c r="Y727" i="1"/>
  <c r="T734" i="1" l="1"/>
  <c r="F734" i="1"/>
  <c r="D734" i="1"/>
  <c r="B735" i="1"/>
  <c r="O734" i="1"/>
  <c r="U734" i="1"/>
  <c r="C731" i="1"/>
  <c r="Y728" i="1"/>
  <c r="T735" i="1" l="1"/>
  <c r="F735" i="1"/>
  <c r="D735" i="1"/>
  <c r="B736" i="1"/>
  <c r="O735" i="1"/>
  <c r="U735" i="1"/>
  <c r="C732" i="1"/>
  <c r="Y729" i="1"/>
  <c r="T736" i="1" l="1"/>
  <c r="F736" i="1"/>
  <c r="D736" i="1"/>
  <c r="B737" i="1"/>
  <c r="O736" i="1"/>
  <c r="U736" i="1"/>
  <c r="C733" i="1"/>
  <c r="Y730" i="1"/>
  <c r="T737" i="1" l="1"/>
  <c r="F737" i="1"/>
  <c r="D737" i="1"/>
  <c r="B738" i="1"/>
  <c r="O737" i="1"/>
  <c r="U737" i="1"/>
  <c r="C734" i="1"/>
  <c r="Y731" i="1"/>
  <c r="T738" i="1" l="1"/>
  <c r="F738" i="1"/>
  <c r="D738" i="1"/>
  <c r="B739" i="1"/>
  <c r="O738" i="1"/>
  <c r="U738" i="1"/>
  <c r="C735" i="1"/>
  <c r="Y732" i="1"/>
  <c r="T739" i="1" l="1"/>
  <c r="F739" i="1"/>
  <c r="D739" i="1"/>
  <c r="B740" i="1"/>
  <c r="O739" i="1"/>
  <c r="U739" i="1"/>
  <c r="C736" i="1"/>
  <c r="Y733" i="1"/>
  <c r="T740" i="1" l="1"/>
  <c r="F740" i="1"/>
  <c r="D740" i="1"/>
  <c r="B741" i="1"/>
  <c r="O740" i="1"/>
  <c r="U740" i="1"/>
  <c r="C737" i="1"/>
  <c r="Y734" i="1"/>
  <c r="T741" i="1" l="1"/>
  <c r="F741" i="1"/>
  <c r="D741" i="1"/>
  <c r="O741" i="1"/>
  <c r="U741" i="1"/>
  <c r="C738" i="1"/>
  <c r="Y735" i="1"/>
  <c r="C739" i="1" l="1"/>
  <c r="Y736" i="1"/>
  <c r="C740" i="1" l="1"/>
  <c r="Y737" i="1"/>
  <c r="C741" i="1" l="1"/>
  <c r="Y738" i="1"/>
  <c r="Y739" i="1" l="1"/>
  <c r="Y740" i="1" l="1"/>
  <c r="Y741" i="1" l="1"/>
  <c r="V281" i="1" l="1"/>
  <c r="V282" i="1"/>
  <c r="L285" i="1"/>
  <c r="V291" i="1"/>
  <c r="V297" i="1"/>
  <c r="V301" i="1"/>
  <c r="V302" i="1"/>
  <c r="V303" i="1"/>
  <c r="V304" i="1"/>
  <c r="V276" i="1"/>
  <c r="V283" i="1"/>
  <c r="V298" i="1"/>
  <c r="L298" i="1"/>
  <c r="M298" i="1" s="1"/>
  <c r="L300" i="1"/>
  <c r="V274" i="1"/>
  <c r="V286" i="1"/>
  <c r="L295" i="1"/>
  <c r="E299" i="1"/>
  <c r="Q299" i="1" s="1"/>
  <c r="L289" i="1"/>
  <c r="V278" i="1"/>
  <c r="L291" i="1"/>
  <c r="L297" i="1"/>
  <c r="V299" i="1"/>
  <c r="V314" i="1"/>
  <c r="V326" i="1"/>
  <c r="V284" i="1"/>
  <c r="L284" i="1"/>
  <c r="L292" i="1"/>
  <c r="M300" i="1"/>
  <c r="V300" i="1"/>
  <c r="I299" i="1"/>
  <c r="J299" i="1" s="1"/>
  <c r="L299" i="1"/>
  <c r="V289" i="1"/>
  <c r="M297" i="1"/>
  <c r="V306" i="1"/>
  <c r="L283" i="1"/>
  <c r="L288" i="1"/>
  <c r="L294" i="1"/>
  <c r="M294" i="1" s="1"/>
  <c r="L302" i="1"/>
  <c r="I283" i="1"/>
  <c r="J283" i="1" s="1"/>
  <c r="E283" i="1"/>
  <c r="Q283" i="1" s="1"/>
  <c r="L286" i="1"/>
  <c r="V294" i="1"/>
  <c r="L303" i="1"/>
  <c r="M303" i="1" s="1"/>
  <c r="I292" i="1"/>
  <c r="J292" i="1" s="1"/>
  <c r="E292" i="1"/>
  <c r="Q292" i="1" s="1"/>
  <c r="I291" i="1"/>
  <c r="J291" i="1" s="1"/>
  <c r="E291" i="1"/>
  <c r="Q291" i="1" s="1"/>
  <c r="E296" i="1"/>
  <c r="Q296" i="1" s="1"/>
  <c r="I300" i="1"/>
  <c r="J300" i="1" s="1"/>
  <c r="N300" i="1" s="1"/>
  <c r="E300" i="1"/>
  <c r="Q300" i="1" s="1"/>
  <c r="V277" i="1"/>
  <c r="V279" i="1"/>
  <c r="V287" i="1"/>
  <c r="I296" i="1"/>
  <c r="J296" i="1" s="1"/>
  <c r="L296" i="1"/>
  <c r="M302" i="1"/>
  <c r="I302" i="1"/>
  <c r="J302" i="1" s="1"/>
  <c r="E302" i="1"/>
  <c r="Q302" i="1" s="1"/>
  <c r="L307" i="1"/>
  <c r="L305" i="1"/>
  <c r="L301" i="1"/>
  <c r="M301" i="1" s="1"/>
  <c r="V285" i="1"/>
  <c r="V288" i="1"/>
  <c r="L290" i="1"/>
  <c r="M290" i="1" s="1"/>
  <c r="I293" i="1"/>
  <c r="J293" i="1" s="1"/>
  <c r="L293" i="1"/>
  <c r="M293" i="1" s="1"/>
  <c r="V307" i="1"/>
  <c r="E293" i="1"/>
  <c r="Q293" i="1" s="1"/>
  <c r="V280" i="1"/>
  <c r="L280" i="1"/>
  <c r="I284" i="1"/>
  <c r="J284" i="1" s="1"/>
  <c r="E284" i="1"/>
  <c r="Q284" i="1" s="1"/>
  <c r="V290" i="1"/>
  <c r="M291" i="1"/>
  <c r="P291" i="1" s="1"/>
  <c r="I298" i="1"/>
  <c r="J298" i="1" s="1"/>
  <c r="E298" i="1"/>
  <c r="Q298" i="1" s="1"/>
  <c r="E295" i="1"/>
  <c r="Q295" i="1" s="1"/>
  <c r="I295" i="1"/>
  <c r="J295" i="1" s="1"/>
  <c r="E308" i="1"/>
  <c r="Q308" i="1" s="1"/>
  <c r="V275" i="1"/>
  <c r="L287" i="1"/>
  <c r="M292" i="1"/>
  <c r="P292" i="1" s="1"/>
  <c r="V292" i="1"/>
  <c r="V305" i="1"/>
  <c r="E301" i="1"/>
  <c r="Q301" i="1" s="1"/>
  <c r="I301" i="1"/>
  <c r="J301" i="1" s="1"/>
  <c r="I285" i="1"/>
  <c r="J285" i="1" s="1"/>
  <c r="E285" i="1"/>
  <c r="Q285" i="1" s="1"/>
  <c r="E289" i="1"/>
  <c r="Q289" i="1" s="1"/>
  <c r="I289" i="1"/>
  <c r="J289" i="1" s="1"/>
  <c r="E304" i="1"/>
  <c r="Q304" i="1" s="1"/>
  <c r="E294" i="1"/>
  <c r="Q294" i="1" s="1"/>
  <c r="I294" i="1"/>
  <c r="J294" i="1" s="1"/>
  <c r="E297" i="1"/>
  <c r="Q297" i="1" s="1"/>
  <c r="I297" i="1"/>
  <c r="J297" i="1" s="1"/>
  <c r="V273" i="1"/>
  <c r="I288" i="1"/>
  <c r="J288" i="1" s="1"/>
  <c r="W288" i="1" s="1"/>
  <c r="E288" i="1"/>
  <c r="Q288" i="1" s="1"/>
  <c r="V293" i="1"/>
  <c r="W293" i="1" s="1"/>
  <c r="M295" i="1"/>
  <c r="V295" i="1"/>
  <c r="M296" i="1"/>
  <c r="P296" i="1" s="1"/>
  <c r="V296" i="1"/>
  <c r="W296" i="1" s="1"/>
  <c r="M299" i="1"/>
  <c r="P299" i="1" s="1"/>
  <c r="E303" i="1"/>
  <c r="Q303" i="1" s="1"/>
  <c r="I303" i="1"/>
  <c r="J303" i="1" s="1"/>
  <c r="E309" i="1"/>
  <c r="Q309" i="1" s="1"/>
  <c r="E313" i="1"/>
  <c r="Q313" i="1" s="1"/>
  <c r="V308" i="1"/>
  <c r="V316" i="1"/>
  <c r="V311" i="1"/>
  <c r="L310" i="1"/>
  <c r="V319" i="1"/>
  <c r="I311" i="1"/>
  <c r="J311" i="1" s="1"/>
  <c r="L311" i="1"/>
  <c r="M311" i="1" s="1"/>
  <c r="L324" i="1"/>
  <c r="V320" i="1"/>
  <c r="V324" i="1"/>
  <c r="M307" i="1"/>
  <c r="V322" i="1"/>
  <c r="E311" i="1"/>
  <c r="Q311" i="1" s="1"/>
  <c r="L323" i="1"/>
  <c r="V312" i="1"/>
  <c r="E315" i="1"/>
  <c r="Q315" i="1" s="1"/>
  <c r="E318" i="1"/>
  <c r="Q318" i="1" s="1"/>
  <c r="L312" i="1"/>
  <c r="M312" i="1" s="1"/>
  <c r="E321" i="1"/>
  <c r="Q321" i="1" s="1"/>
  <c r="E330" i="1"/>
  <c r="Q330" i="1" s="1"/>
  <c r="I304" i="1"/>
  <c r="J304" i="1" s="1"/>
  <c r="W304" i="1" s="1"/>
  <c r="L304" i="1"/>
  <c r="M304" i="1" s="1"/>
  <c r="I310" i="1"/>
  <c r="J310" i="1" s="1"/>
  <c r="E310" i="1"/>
  <c r="Q310" i="1" s="1"/>
  <c r="I321" i="1"/>
  <c r="J321" i="1" s="1"/>
  <c r="L321" i="1"/>
  <c r="V325" i="1"/>
  <c r="E328" i="1"/>
  <c r="Q328" i="1" s="1"/>
  <c r="E317" i="1"/>
  <c r="Q317" i="1" s="1"/>
  <c r="E343" i="1"/>
  <c r="Q343" i="1" s="1"/>
  <c r="L343" i="1"/>
  <c r="I343" i="1"/>
  <c r="J343" i="1" s="1"/>
  <c r="E326" i="1"/>
  <c r="Q326" i="1" s="1"/>
  <c r="V343" i="1"/>
  <c r="L318" i="1"/>
  <c r="M318" i="1" s="1"/>
  <c r="I318" i="1"/>
  <c r="J318" i="1" s="1"/>
  <c r="L306" i="1"/>
  <c r="M306" i="1" s="1"/>
  <c r="V317" i="1"/>
  <c r="V318" i="1"/>
  <c r="V323" i="1"/>
  <c r="I313" i="1"/>
  <c r="J313" i="1" s="1"/>
  <c r="L313" i="1"/>
  <c r="V309" i="1"/>
  <c r="I309" i="1"/>
  <c r="J309" i="1" s="1"/>
  <c r="L309" i="1"/>
  <c r="M309" i="1" s="1"/>
  <c r="M313" i="1"/>
  <c r="V313" i="1"/>
  <c r="L314" i="1"/>
  <c r="M314" i="1" s="1"/>
  <c r="L320" i="1"/>
  <c r="M320" i="1" s="1"/>
  <c r="I324" i="1"/>
  <c r="J324" i="1" s="1"/>
  <c r="E324" i="1"/>
  <c r="Q324" i="1" s="1"/>
  <c r="E331" i="1"/>
  <c r="Q331" i="1" s="1"/>
  <c r="L316" i="1"/>
  <c r="M316" i="1" s="1"/>
  <c r="L319" i="1"/>
  <c r="M319" i="1" s="1"/>
  <c r="I316" i="1"/>
  <c r="J316" i="1" s="1"/>
  <c r="E316" i="1"/>
  <c r="Q316" i="1" s="1"/>
  <c r="I314" i="1"/>
  <c r="J314" i="1" s="1"/>
  <c r="E314" i="1"/>
  <c r="Q314" i="1" s="1"/>
  <c r="M321" i="1"/>
  <c r="V321" i="1"/>
  <c r="I320" i="1"/>
  <c r="J320" i="1" s="1"/>
  <c r="E320" i="1"/>
  <c r="Q320" i="1" s="1"/>
  <c r="L322" i="1"/>
  <c r="M322" i="1" s="1"/>
  <c r="L342" i="1"/>
  <c r="I317" i="1"/>
  <c r="J317" i="1" s="1"/>
  <c r="L317" i="1"/>
  <c r="M317" i="1" s="1"/>
  <c r="I319" i="1"/>
  <c r="J319" i="1" s="1"/>
  <c r="E319" i="1"/>
  <c r="Q319" i="1" s="1"/>
  <c r="L327" i="1"/>
  <c r="I328" i="1"/>
  <c r="J328" i="1" s="1"/>
  <c r="L328" i="1"/>
  <c r="M328" i="1" s="1"/>
  <c r="V327" i="1"/>
  <c r="E338" i="1"/>
  <c r="Q338" i="1" s="1"/>
  <c r="I305" i="1"/>
  <c r="J305" i="1" s="1"/>
  <c r="E305" i="1"/>
  <c r="Q305" i="1" s="1"/>
  <c r="M305" i="1"/>
  <c r="M310" i="1"/>
  <c r="P310" i="1" s="1"/>
  <c r="V310" i="1"/>
  <c r="W310" i="1" s="1"/>
  <c r="V315" i="1"/>
  <c r="E323" i="1"/>
  <c r="Q323" i="1" s="1"/>
  <c r="I323" i="1"/>
  <c r="J323" i="1" s="1"/>
  <c r="E312" i="1"/>
  <c r="Q312" i="1" s="1"/>
  <c r="I312" i="1"/>
  <c r="J312" i="1" s="1"/>
  <c r="E307" i="1"/>
  <c r="Q307" i="1" s="1"/>
  <c r="I307" i="1"/>
  <c r="J307" i="1" s="1"/>
  <c r="N307" i="1" s="1"/>
  <c r="I308" i="1"/>
  <c r="J308" i="1" s="1"/>
  <c r="L308" i="1"/>
  <c r="M308" i="1" s="1"/>
  <c r="I315" i="1"/>
  <c r="J315" i="1" s="1"/>
  <c r="L315" i="1"/>
  <c r="M315" i="1" s="1"/>
  <c r="M324" i="1"/>
  <c r="E329" i="1"/>
  <c r="Q329" i="1" s="1"/>
  <c r="I327" i="1"/>
  <c r="J327" i="1" s="1"/>
  <c r="E327" i="1"/>
  <c r="Q327" i="1" s="1"/>
  <c r="M323" i="1"/>
  <c r="I329" i="1"/>
  <c r="J329" i="1" s="1"/>
  <c r="L329" i="1"/>
  <c r="M329" i="1" s="1"/>
  <c r="L345" i="1"/>
  <c r="V353" i="1"/>
  <c r="V328" i="1"/>
  <c r="V329" i="1"/>
  <c r="V333" i="1"/>
  <c r="L332" i="1"/>
  <c r="E325" i="1"/>
  <c r="Q325" i="1" s="1"/>
  <c r="E340" i="1"/>
  <c r="Q340" i="1" s="1"/>
  <c r="L337" i="1"/>
  <c r="M337" i="1" s="1"/>
  <c r="V345" i="1"/>
  <c r="L348" i="1"/>
  <c r="M348" i="1" s="1"/>
  <c r="L336" i="1"/>
  <c r="V342" i="1"/>
  <c r="V336" i="1"/>
  <c r="V337" i="1"/>
  <c r="V341" i="1"/>
  <c r="L351" i="1"/>
  <c r="V349" i="1"/>
  <c r="V350" i="1"/>
  <c r="E322" i="1"/>
  <c r="Q322" i="1" s="1"/>
  <c r="I322" i="1"/>
  <c r="J322" i="1" s="1"/>
  <c r="I306" i="1"/>
  <c r="J306" i="1" s="1"/>
  <c r="N306" i="1" s="1"/>
  <c r="E306" i="1"/>
  <c r="Q306" i="1" s="1"/>
  <c r="I332" i="1"/>
  <c r="J332" i="1" s="1"/>
  <c r="E332" i="1"/>
  <c r="Q332" i="1" s="1"/>
  <c r="L354" i="1"/>
  <c r="M354" i="1" s="1"/>
  <c r="E347" i="1"/>
  <c r="Q347" i="1" s="1"/>
  <c r="V352" i="1"/>
  <c r="E344" i="1"/>
  <c r="Q344" i="1" s="1"/>
  <c r="V330" i="1"/>
  <c r="L338" i="1"/>
  <c r="I338" i="1"/>
  <c r="J338" i="1" s="1"/>
  <c r="I340" i="1"/>
  <c r="J340" i="1" s="1"/>
  <c r="L340" i="1"/>
  <c r="M342" i="1"/>
  <c r="I331" i="1"/>
  <c r="J331" i="1" s="1"/>
  <c r="L331" i="1"/>
  <c r="E335" i="1"/>
  <c r="Q335" i="1" s="1"/>
  <c r="L341" i="1"/>
  <c r="M341" i="1" s="1"/>
  <c r="M327" i="1"/>
  <c r="L339" i="1"/>
  <c r="M339" i="1" s="1"/>
  <c r="V347" i="1"/>
  <c r="E364" i="1"/>
  <c r="Q364" i="1" s="1"/>
  <c r="E349" i="1"/>
  <c r="Q349" i="1" s="1"/>
  <c r="V354" i="1"/>
  <c r="L352" i="1"/>
  <c r="M352" i="1" s="1"/>
  <c r="V338" i="1"/>
  <c r="V340" i="1"/>
  <c r="V351" i="1"/>
  <c r="V339" i="1"/>
  <c r="E341" i="1"/>
  <c r="Q341" i="1" s="1"/>
  <c r="I341" i="1"/>
  <c r="J341" i="1" s="1"/>
  <c r="V348" i="1"/>
  <c r="I335" i="1"/>
  <c r="J335" i="1" s="1"/>
  <c r="L335" i="1"/>
  <c r="V334" i="1"/>
  <c r="E334" i="1"/>
  <c r="Q334" i="1" s="1"/>
  <c r="M343" i="1"/>
  <c r="P343" i="1" s="1"/>
  <c r="M336" i="1"/>
  <c r="E350" i="1"/>
  <c r="Q350" i="1" s="1"/>
  <c r="E366" i="1"/>
  <c r="Q366" i="1" s="1"/>
  <c r="E345" i="1"/>
  <c r="Q345" i="1" s="1"/>
  <c r="I345" i="1"/>
  <c r="J345" i="1" s="1"/>
  <c r="V375" i="1"/>
  <c r="L357" i="1"/>
  <c r="E337" i="1"/>
  <c r="Q337" i="1" s="1"/>
  <c r="I337" i="1"/>
  <c r="J337" i="1" s="1"/>
  <c r="W337" i="1" s="1"/>
  <c r="E342" i="1"/>
  <c r="Q342" i="1" s="1"/>
  <c r="I342" i="1"/>
  <c r="J342" i="1" s="1"/>
  <c r="E346" i="1"/>
  <c r="Q346" i="1" s="1"/>
  <c r="I346" i="1"/>
  <c r="J346" i="1" s="1"/>
  <c r="L333" i="1"/>
  <c r="M333" i="1" s="1"/>
  <c r="I344" i="1"/>
  <c r="J344" i="1" s="1"/>
  <c r="L344" i="1"/>
  <c r="M344" i="1" s="1"/>
  <c r="V358" i="1"/>
  <c r="L359" i="1"/>
  <c r="M359" i="1" s="1"/>
  <c r="I326" i="1"/>
  <c r="J326" i="1" s="1"/>
  <c r="L326" i="1"/>
  <c r="M326" i="1" s="1"/>
  <c r="M332" i="1"/>
  <c r="V332" i="1"/>
  <c r="W332" i="1" s="1"/>
  <c r="E370" i="1"/>
  <c r="Q370" i="1" s="1"/>
  <c r="E354" i="1"/>
  <c r="Q354" i="1" s="1"/>
  <c r="I354" i="1"/>
  <c r="J354" i="1" s="1"/>
  <c r="L358" i="1"/>
  <c r="M358" i="1" s="1"/>
  <c r="V366" i="1"/>
  <c r="V371" i="1"/>
  <c r="L375" i="1"/>
  <c r="L371" i="1"/>
  <c r="M289" i="1"/>
  <c r="P289" i="1" s="1"/>
  <c r="L269" i="1"/>
  <c r="V356" i="1"/>
  <c r="V368" i="1"/>
  <c r="L273" i="1"/>
  <c r="M273" i="1" s="1"/>
  <c r="L353" i="1"/>
  <c r="M353" i="1" s="1"/>
  <c r="V374" i="1"/>
  <c r="V268" i="1"/>
  <c r="I325" i="1"/>
  <c r="J325" i="1" s="1"/>
  <c r="L325" i="1"/>
  <c r="M325" i="1" s="1"/>
  <c r="I330" i="1"/>
  <c r="J330" i="1" s="1"/>
  <c r="L330" i="1"/>
  <c r="M330" i="1" s="1"/>
  <c r="I334" i="1"/>
  <c r="J334" i="1" s="1"/>
  <c r="L334" i="1"/>
  <c r="M334" i="1" s="1"/>
  <c r="M340" i="1"/>
  <c r="V344" i="1"/>
  <c r="E353" i="1"/>
  <c r="Q353" i="1" s="1"/>
  <c r="I353" i="1"/>
  <c r="J353" i="1" s="1"/>
  <c r="L346" i="1"/>
  <c r="I368" i="1"/>
  <c r="J368" i="1" s="1"/>
  <c r="L368" i="1"/>
  <c r="M368" i="1" s="1"/>
  <c r="V359" i="1"/>
  <c r="V372" i="1"/>
  <c r="L373" i="1"/>
  <c r="L274" i="1"/>
  <c r="V272" i="1"/>
  <c r="V267" i="1"/>
  <c r="E368" i="1"/>
  <c r="Q368" i="1" s="1"/>
  <c r="I348" i="1"/>
  <c r="J348" i="1" s="1"/>
  <c r="E348" i="1"/>
  <c r="Q348" i="1" s="1"/>
  <c r="V357" i="1"/>
  <c r="L356" i="1"/>
  <c r="M356" i="1" s="1"/>
  <c r="L365" i="1"/>
  <c r="M365" i="1" s="1"/>
  <c r="W283" i="1"/>
  <c r="E356" i="1"/>
  <c r="Q356" i="1" s="1"/>
  <c r="I356" i="1"/>
  <c r="J356" i="1" s="1"/>
  <c r="V367" i="1"/>
  <c r="V377" i="1"/>
  <c r="V265" i="1"/>
  <c r="M345" i="1"/>
  <c r="E333" i="1"/>
  <c r="Q333" i="1" s="1"/>
  <c r="I333" i="1"/>
  <c r="J333" i="1" s="1"/>
  <c r="E339" i="1"/>
  <c r="Q339" i="1" s="1"/>
  <c r="I339" i="1"/>
  <c r="J339" i="1" s="1"/>
  <c r="M331" i="1"/>
  <c r="P331" i="1" s="1"/>
  <c r="V331" i="1"/>
  <c r="I351" i="1"/>
  <c r="J351" i="1" s="1"/>
  <c r="E351" i="1"/>
  <c r="Q351" i="1" s="1"/>
  <c r="V360" i="1"/>
  <c r="L360" i="1"/>
  <c r="M360" i="1" s="1"/>
  <c r="L362" i="1"/>
  <c r="M373" i="1"/>
  <c r="V373" i="1"/>
  <c r="L364" i="1"/>
  <c r="I364" i="1"/>
  <c r="J364" i="1" s="1"/>
  <c r="I370" i="1"/>
  <c r="J370" i="1" s="1"/>
  <c r="L370" i="1"/>
  <c r="M370" i="1" s="1"/>
  <c r="V271" i="1"/>
  <c r="I350" i="1"/>
  <c r="J350" i="1" s="1"/>
  <c r="L350" i="1"/>
  <c r="M350" i="1" s="1"/>
  <c r="I362" i="1"/>
  <c r="J362" i="1" s="1"/>
  <c r="E362" i="1"/>
  <c r="Q362" i="1" s="1"/>
  <c r="V378" i="1"/>
  <c r="L355" i="1"/>
  <c r="M355" i="1" s="1"/>
  <c r="V364" i="1"/>
  <c r="L363" i="1"/>
  <c r="V369" i="1"/>
  <c r="L369" i="1"/>
  <c r="M369" i="1" s="1"/>
  <c r="L276" i="1"/>
  <c r="M276" i="1" s="1"/>
  <c r="E273" i="1"/>
  <c r="Q273" i="1" s="1"/>
  <c r="I273" i="1"/>
  <c r="J273" i="1" s="1"/>
  <c r="I347" i="1"/>
  <c r="J347" i="1" s="1"/>
  <c r="L347" i="1"/>
  <c r="M347" i="1" s="1"/>
  <c r="V355" i="1"/>
  <c r="E369" i="1"/>
  <c r="Q369" i="1" s="1"/>
  <c r="I369" i="1"/>
  <c r="J369" i="1" s="1"/>
  <c r="I366" i="1"/>
  <c r="J366" i="1" s="1"/>
  <c r="L366" i="1"/>
  <c r="M366" i="1" s="1"/>
  <c r="L278" i="1"/>
  <c r="M278" i="1" s="1"/>
  <c r="I336" i="1"/>
  <c r="J336" i="1" s="1"/>
  <c r="N336" i="1" s="1"/>
  <c r="E336" i="1"/>
  <c r="Q336" i="1" s="1"/>
  <c r="M335" i="1"/>
  <c r="V335" i="1"/>
  <c r="M338" i="1"/>
  <c r="M346" i="1"/>
  <c r="P346" i="1" s="1"/>
  <c r="V346" i="1"/>
  <c r="W346" i="1" s="1"/>
  <c r="L361" i="1"/>
  <c r="V370" i="1"/>
  <c r="L372" i="1"/>
  <c r="M372" i="1" s="1"/>
  <c r="V270" i="1"/>
  <c r="M351" i="1"/>
  <c r="E371" i="1"/>
  <c r="Q371" i="1" s="1"/>
  <c r="I371" i="1"/>
  <c r="J371" i="1" s="1"/>
  <c r="W371" i="1" s="1"/>
  <c r="V379" i="1"/>
  <c r="M357" i="1"/>
  <c r="E367" i="1"/>
  <c r="Q367" i="1" s="1"/>
  <c r="I367" i="1"/>
  <c r="J367" i="1" s="1"/>
  <c r="L367" i="1"/>
  <c r="M367" i="1" s="1"/>
  <c r="I290" i="1"/>
  <c r="J290" i="1" s="1"/>
  <c r="E290" i="1"/>
  <c r="Q290" i="1" s="1"/>
  <c r="E363" i="1"/>
  <c r="Q363" i="1" s="1"/>
  <c r="I363" i="1"/>
  <c r="J363" i="1" s="1"/>
  <c r="M362" i="1"/>
  <c r="V362" i="1"/>
  <c r="I361" i="1"/>
  <c r="J361" i="1" s="1"/>
  <c r="E361" i="1"/>
  <c r="Q361" i="1" s="1"/>
  <c r="I365" i="1"/>
  <c r="J365" i="1" s="1"/>
  <c r="E365" i="1"/>
  <c r="Q365" i="1" s="1"/>
  <c r="I372" i="1"/>
  <c r="J372" i="1" s="1"/>
  <c r="E372" i="1"/>
  <c r="Q372" i="1" s="1"/>
  <c r="E278" i="1"/>
  <c r="Q278" i="1" s="1"/>
  <c r="I278" i="1"/>
  <c r="J278" i="1" s="1"/>
  <c r="E358" i="1"/>
  <c r="Q358" i="1" s="1"/>
  <c r="I358" i="1"/>
  <c r="J358" i="1" s="1"/>
  <c r="N358" i="1" s="1"/>
  <c r="I352" i="1"/>
  <c r="J352" i="1" s="1"/>
  <c r="E352" i="1"/>
  <c r="Q352" i="1" s="1"/>
  <c r="E355" i="1"/>
  <c r="Q355" i="1" s="1"/>
  <c r="I355" i="1"/>
  <c r="J355" i="1" s="1"/>
  <c r="V376" i="1"/>
  <c r="V264" i="1"/>
  <c r="L267" i="1"/>
  <c r="M267" i="1" s="1"/>
  <c r="L265" i="1"/>
  <c r="M265" i="1" s="1"/>
  <c r="V223" i="1"/>
  <c r="V217" i="1"/>
  <c r="V232" i="1"/>
  <c r="V255" i="1"/>
  <c r="L279" i="1"/>
  <c r="M279" i="1" s="1"/>
  <c r="V213" i="1"/>
  <c r="I359" i="1"/>
  <c r="J359" i="1" s="1"/>
  <c r="E359" i="1"/>
  <c r="Q359" i="1" s="1"/>
  <c r="V363" i="1"/>
  <c r="V365" i="1"/>
  <c r="I375" i="1"/>
  <c r="J375" i="1" s="1"/>
  <c r="W375" i="1" s="1"/>
  <c r="E375" i="1"/>
  <c r="Q375" i="1" s="1"/>
  <c r="I279" i="1"/>
  <c r="J279" i="1" s="1"/>
  <c r="E279" i="1"/>
  <c r="Q279" i="1" s="1"/>
  <c r="M288" i="1"/>
  <c r="V262" i="1"/>
  <c r="M285" i="1"/>
  <c r="N285" i="1" s="1"/>
  <c r="V230" i="1"/>
  <c r="V211" i="1"/>
  <c r="L264" i="1"/>
  <c r="M264" i="1" s="1"/>
  <c r="V252" i="1"/>
  <c r="V249" i="1"/>
  <c r="V246" i="1"/>
  <c r="M287" i="1"/>
  <c r="E266" i="1"/>
  <c r="Q266" i="1" s="1"/>
  <c r="E264" i="1"/>
  <c r="Q264" i="1" s="1"/>
  <c r="I264" i="1"/>
  <c r="J264" i="1" s="1"/>
  <c r="I286" i="1"/>
  <c r="J286" i="1" s="1"/>
  <c r="W286" i="1" s="1"/>
  <c r="E286" i="1"/>
  <c r="Q286" i="1" s="1"/>
  <c r="E234" i="1"/>
  <c r="Q234" i="1" s="1"/>
  <c r="V226" i="1"/>
  <c r="L219" i="1"/>
  <c r="E242" i="1"/>
  <c r="Q242" i="1" s="1"/>
  <c r="V259" i="1"/>
  <c r="L268" i="1"/>
  <c r="L270" i="1"/>
  <c r="V219" i="1"/>
  <c r="L225" i="1"/>
  <c r="V251" i="1"/>
  <c r="M286" i="1"/>
  <c r="I357" i="1"/>
  <c r="J357" i="1" s="1"/>
  <c r="E357" i="1"/>
  <c r="Q357" i="1" s="1"/>
  <c r="E374" i="1"/>
  <c r="Q374" i="1" s="1"/>
  <c r="V269" i="1"/>
  <c r="M269" i="1"/>
  <c r="I266" i="1"/>
  <c r="J266" i="1" s="1"/>
  <c r="L266" i="1"/>
  <c r="L272" i="1"/>
  <c r="M272" i="1" s="1"/>
  <c r="L255" i="1"/>
  <c r="M255" i="1" s="1"/>
  <c r="V241" i="1"/>
  <c r="V236" i="1"/>
  <c r="V257" i="1"/>
  <c r="L281" i="1"/>
  <c r="M281" i="1" s="1"/>
  <c r="L271" i="1"/>
  <c r="M271" i="1" s="1"/>
  <c r="L257" i="1"/>
  <c r="L254" i="1"/>
  <c r="M254" i="1" s="1"/>
  <c r="E271" i="1"/>
  <c r="Q271" i="1" s="1"/>
  <c r="I271" i="1"/>
  <c r="J271" i="1" s="1"/>
  <c r="L275" i="1"/>
  <c r="M275" i="1" s="1"/>
  <c r="E238" i="1"/>
  <c r="Q238" i="1" s="1"/>
  <c r="L263" i="1"/>
  <c r="E256" i="1"/>
  <c r="Q256" i="1" s="1"/>
  <c r="L249" i="1"/>
  <c r="M249" i="1" s="1"/>
  <c r="L230" i="1"/>
  <c r="M230" i="1" s="1"/>
  <c r="V215" i="1"/>
  <c r="V243" i="1"/>
  <c r="L258" i="1"/>
  <c r="E235" i="1"/>
  <c r="Q235" i="1" s="1"/>
  <c r="L226" i="1"/>
  <c r="E240" i="1"/>
  <c r="Q240" i="1" s="1"/>
  <c r="L261" i="1"/>
  <c r="V261" i="1"/>
  <c r="V247" i="1"/>
  <c r="V245" i="1"/>
  <c r="V244" i="1"/>
  <c r="L277" i="1"/>
  <c r="M277" i="1" s="1"/>
  <c r="V222" i="1"/>
  <c r="I349" i="1"/>
  <c r="J349" i="1" s="1"/>
  <c r="L349" i="1"/>
  <c r="M349" i="1" s="1"/>
  <c r="E360" i="1"/>
  <c r="Q360" i="1" s="1"/>
  <c r="I360" i="1"/>
  <c r="J360" i="1" s="1"/>
  <c r="N360" i="1" s="1"/>
  <c r="E373" i="1"/>
  <c r="Q373" i="1" s="1"/>
  <c r="I373" i="1"/>
  <c r="J373" i="1" s="1"/>
  <c r="N373" i="1" s="1"/>
  <c r="M361" i="1"/>
  <c r="P361" i="1" s="1"/>
  <c r="V361" i="1"/>
  <c r="W361" i="1" s="1"/>
  <c r="M363" i="1"/>
  <c r="P363" i="1" s="1"/>
  <c r="M364" i="1"/>
  <c r="P364" i="1" s="1"/>
  <c r="M371" i="1"/>
  <c r="P371" i="1" s="1"/>
  <c r="R371" i="1" s="1"/>
  <c r="I374" i="1"/>
  <c r="J374" i="1" s="1"/>
  <c r="L374" i="1"/>
  <c r="M374" i="1" s="1"/>
  <c r="E282" i="1"/>
  <c r="Q282" i="1" s="1"/>
  <c r="E280" i="1"/>
  <c r="Q280" i="1" s="1"/>
  <c r="I280" i="1"/>
  <c r="J280" i="1" s="1"/>
  <c r="W280" i="1" s="1"/>
  <c r="E276" i="1"/>
  <c r="Q276" i="1" s="1"/>
  <c r="I276" i="1"/>
  <c r="J276" i="1" s="1"/>
  <c r="P276" i="1" s="1"/>
  <c r="M283" i="1"/>
  <c r="P283" i="1" s="1"/>
  <c r="I240" i="1"/>
  <c r="J240" i="1" s="1"/>
  <c r="L240" i="1"/>
  <c r="L247" i="1"/>
  <c r="V224" i="1"/>
  <c r="V218" i="1"/>
  <c r="V242" i="1"/>
  <c r="M257" i="1"/>
  <c r="I255" i="1"/>
  <c r="J255" i="1" s="1"/>
  <c r="W255" i="1" s="1"/>
  <c r="E255" i="1"/>
  <c r="Q255" i="1" s="1"/>
  <c r="E251" i="1"/>
  <c r="Q251" i="1" s="1"/>
  <c r="I277" i="1"/>
  <c r="J277" i="1" s="1"/>
  <c r="E277" i="1"/>
  <c r="Q277" i="1" s="1"/>
  <c r="E236" i="1"/>
  <c r="Q236" i="1" s="1"/>
  <c r="L244" i="1"/>
  <c r="M244" i="1" s="1"/>
  <c r="V228" i="1"/>
  <c r="V220" i="1"/>
  <c r="V208" i="1"/>
  <c r="E248" i="1"/>
  <c r="Q248" i="1" s="1"/>
  <c r="E243" i="1"/>
  <c r="Q243" i="1" s="1"/>
  <c r="V266" i="1"/>
  <c r="M263" i="1"/>
  <c r="V263" i="1"/>
  <c r="V260" i="1"/>
  <c r="I251" i="1"/>
  <c r="J251" i="1" s="1"/>
  <c r="W251" i="1" s="1"/>
  <c r="L251" i="1"/>
  <c r="M251" i="1" s="1"/>
  <c r="V254" i="1"/>
  <c r="V250" i="1"/>
  <c r="V248" i="1"/>
  <c r="I282" i="1"/>
  <c r="J282" i="1" s="1"/>
  <c r="L282" i="1"/>
  <c r="M282" i="1" s="1"/>
  <c r="I256" i="1"/>
  <c r="J256" i="1" s="1"/>
  <c r="L256" i="1"/>
  <c r="M256" i="1" s="1"/>
  <c r="I248" i="1"/>
  <c r="J248" i="1" s="1"/>
  <c r="L248" i="1"/>
  <c r="M248" i="1" s="1"/>
  <c r="E270" i="1"/>
  <c r="Q270" i="1" s="1"/>
  <c r="I270" i="1"/>
  <c r="J270" i="1" s="1"/>
  <c r="L237" i="1"/>
  <c r="L262" i="1"/>
  <c r="M262" i="1" s="1"/>
  <c r="L259" i="1"/>
  <c r="M259" i="1" s="1"/>
  <c r="L232" i="1"/>
  <c r="M232" i="1" s="1"/>
  <c r="V235" i="1"/>
  <c r="L222" i="1"/>
  <c r="M222" i="1" s="1"/>
  <c r="M225" i="1"/>
  <c r="V225" i="1"/>
  <c r="I234" i="1"/>
  <c r="J234" i="1" s="1"/>
  <c r="L234" i="1"/>
  <c r="M234" i="1" s="1"/>
  <c r="L228" i="1"/>
  <c r="M228" i="1" s="1"/>
  <c r="L252" i="1"/>
  <c r="V253" i="1"/>
  <c r="L239" i="1"/>
  <c r="M239" i="1" s="1"/>
  <c r="M284" i="1"/>
  <c r="P284" i="1" s="1"/>
  <c r="M280" i="1"/>
  <c r="E275" i="1"/>
  <c r="Q275" i="1" s="1"/>
  <c r="I275" i="1"/>
  <c r="J275" i="1" s="1"/>
  <c r="M268" i="1"/>
  <c r="I267" i="1"/>
  <c r="J267" i="1" s="1"/>
  <c r="E267" i="1"/>
  <c r="Q267" i="1" s="1"/>
  <c r="E252" i="1"/>
  <c r="Q252" i="1" s="1"/>
  <c r="I252" i="1"/>
  <c r="J252" i="1" s="1"/>
  <c r="I287" i="1"/>
  <c r="J287" i="1" s="1"/>
  <c r="E287" i="1"/>
  <c r="Q287" i="1" s="1"/>
  <c r="M274" i="1"/>
  <c r="E259" i="1"/>
  <c r="Q259" i="1" s="1"/>
  <c r="I259" i="1"/>
  <c r="J259" i="1" s="1"/>
  <c r="I236" i="1"/>
  <c r="J236" i="1" s="1"/>
  <c r="L236" i="1"/>
  <c r="M236" i="1" s="1"/>
  <c r="V238" i="1"/>
  <c r="I235" i="1"/>
  <c r="J235" i="1" s="1"/>
  <c r="L235" i="1"/>
  <c r="M235" i="1" s="1"/>
  <c r="V231" i="1"/>
  <c r="V227" i="1"/>
  <c r="V256" i="1"/>
  <c r="L250" i="1"/>
  <c r="M250" i="1" s="1"/>
  <c r="E231" i="1"/>
  <c r="Q231" i="1" s="1"/>
  <c r="V216" i="1"/>
  <c r="I238" i="1"/>
  <c r="J238" i="1" s="1"/>
  <c r="L238" i="1"/>
  <c r="M238" i="1" s="1"/>
  <c r="I258" i="1"/>
  <c r="J258" i="1" s="1"/>
  <c r="E258" i="1"/>
  <c r="Q258" i="1" s="1"/>
  <c r="L245" i="1"/>
  <c r="V239" i="1"/>
  <c r="V221" i="1"/>
  <c r="V214" i="1"/>
  <c r="L207" i="1"/>
  <c r="M207" i="1" s="1"/>
  <c r="L214" i="1"/>
  <c r="V201" i="1"/>
  <c r="L211" i="1"/>
  <c r="L241" i="1"/>
  <c r="M241" i="1" s="1"/>
  <c r="L204" i="1"/>
  <c r="M204" i="1" s="1"/>
  <c r="V196" i="1"/>
  <c r="M266" i="1"/>
  <c r="P266" i="1" s="1"/>
  <c r="V209" i="1"/>
  <c r="M270" i="1"/>
  <c r="I269" i="1"/>
  <c r="J269" i="1" s="1"/>
  <c r="E269" i="1"/>
  <c r="Q269" i="1" s="1"/>
  <c r="E257" i="1"/>
  <c r="Q257" i="1" s="1"/>
  <c r="I257" i="1"/>
  <c r="J257" i="1" s="1"/>
  <c r="E253" i="1"/>
  <c r="Q253" i="1" s="1"/>
  <c r="E249" i="1"/>
  <c r="Q249" i="1" s="1"/>
  <c r="I249" i="1"/>
  <c r="J249" i="1" s="1"/>
  <c r="W249" i="1" s="1"/>
  <c r="V233" i="1"/>
  <c r="V212" i="1"/>
  <c r="L209" i="1"/>
  <c r="M209" i="1" s="1"/>
  <c r="L172" i="1"/>
  <c r="M172" i="1" s="1"/>
  <c r="V229" i="1"/>
  <c r="L197" i="1"/>
  <c r="E222" i="1"/>
  <c r="Q222" i="1" s="1"/>
  <c r="I222" i="1"/>
  <c r="J222" i="1" s="1"/>
  <c r="L170" i="1"/>
  <c r="L224" i="1"/>
  <c r="M224" i="1" s="1"/>
  <c r="E207" i="1"/>
  <c r="Q207" i="1" s="1"/>
  <c r="I207" i="1"/>
  <c r="J207" i="1" s="1"/>
  <c r="E204" i="1"/>
  <c r="Q204" i="1" s="1"/>
  <c r="I204" i="1"/>
  <c r="J204" i="1" s="1"/>
  <c r="E201" i="1"/>
  <c r="Q201" i="1" s="1"/>
  <c r="E196" i="1"/>
  <c r="Q196" i="1" s="1"/>
  <c r="L177" i="1"/>
  <c r="V199" i="1"/>
  <c r="E225" i="1"/>
  <c r="Q225" i="1" s="1"/>
  <c r="I225" i="1"/>
  <c r="J225" i="1" s="1"/>
  <c r="L218" i="1"/>
  <c r="M218" i="1" s="1"/>
  <c r="E217" i="1"/>
  <c r="Q217" i="1" s="1"/>
  <c r="E210" i="1"/>
  <c r="Q210" i="1" s="1"/>
  <c r="E200" i="1"/>
  <c r="Q200" i="1" s="1"/>
  <c r="E198" i="1"/>
  <c r="Q198" i="1" s="1"/>
  <c r="E191" i="1"/>
  <c r="Q191" i="1" s="1"/>
  <c r="E173" i="1"/>
  <c r="Q173" i="1" s="1"/>
  <c r="E164" i="1"/>
  <c r="Q164" i="1" s="1"/>
  <c r="E237" i="1"/>
  <c r="Q237" i="1" s="1"/>
  <c r="I237" i="1"/>
  <c r="J237" i="1" s="1"/>
  <c r="V206" i="1"/>
  <c r="L195" i="1"/>
  <c r="E220" i="1"/>
  <c r="Q220" i="1" s="1"/>
  <c r="M214" i="1"/>
  <c r="E212" i="1"/>
  <c r="Q212" i="1" s="1"/>
  <c r="L216" i="1"/>
  <c r="M216" i="1" s="1"/>
  <c r="E138" i="1"/>
  <c r="Q138" i="1" s="1"/>
  <c r="E213" i="1"/>
  <c r="Q213" i="1" s="1"/>
  <c r="E209" i="1"/>
  <c r="Q209" i="1" s="1"/>
  <c r="I209" i="1"/>
  <c r="J209" i="1" s="1"/>
  <c r="L190" i="1"/>
  <c r="L184" i="1"/>
  <c r="M184" i="1" s="1"/>
  <c r="V205" i="1"/>
  <c r="V197" i="1"/>
  <c r="E272" i="1"/>
  <c r="Q272" i="1" s="1"/>
  <c r="I272" i="1"/>
  <c r="J272" i="1" s="1"/>
  <c r="I263" i="1"/>
  <c r="J263" i="1" s="1"/>
  <c r="E263" i="1"/>
  <c r="Q263" i="1" s="1"/>
  <c r="V240" i="1"/>
  <c r="M261" i="1"/>
  <c r="L246" i="1"/>
  <c r="M246" i="1" s="1"/>
  <c r="I261" i="1"/>
  <c r="J261" i="1" s="1"/>
  <c r="E261" i="1"/>
  <c r="Q261" i="1" s="1"/>
  <c r="M252" i="1"/>
  <c r="M247" i="1"/>
  <c r="L233" i="1"/>
  <c r="M233" i="1" s="1"/>
  <c r="L260" i="1"/>
  <c r="M260" i="1" s="1"/>
  <c r="I245" i="1"/>
  <c r="J245" i="1" s="1"/>
  <c r="E245" i="1"/>
  <c r="Q245" i="1" s="1"/>
  <c r="I241" i="1"/>
  <c r="J241" i="1" s="1"/>
  <c r="N241" i="1" s="1"/>
  <c r="E241" i="1"/>
  <c r="Q241" i="1" s="1"/>
  <c r="E239" i="1"/>
  <c r="Q239" i="1" s="1"/>
  <c r="I239" i="1"/>
  <c r="J239" i="1" s="1"/>
  <c r="L229" i="1"/>
  <c r="M229" i="1" s="1"/>
  <c r="L217" i="1"/>
  <c r="M217" i="1" s="1"/>
  <c r="I217" i="1"/>
  <c r="J217" i="1" s="1"/>
  <c r="W217" i="1" s="1"/>
  <c r="E219" i="1"/>
  <c r="Q219" i="1" s="1"/>
  <c r="I219" i="1"/>
  <c r="J219" i="1" s="1"/>
  <c r="W219" i="1" s="1"/>
  <c r="I213" i="1"/>
  <c r="J213" i="1" s="1"/>
  <c r="L213" i="1"/>
  <c r="M213" i="1" s="1"/>
  <c r="L192" i="1"/>
  <c r="E174" i="1"/>
  <c r="Q174" i="1" s="1"/>
  <c r="E171" i="1"/>
  <c r="Q171" i="1" s="1"/>
  <c r="I196" i="1"/>
  <c r="J196" i="1" s="1"/>
  <c r="W196" i="1" s="1"/>
  <c r="L196" i="1"/>
  <c r="L221" i="1"/>
  <c r="M221" i="1" s="1"/>
  <c r="I210" i="1"/>
  <c r="J210" i="1" s="1"/>
  <c r="L210" i="1"/>
  <c r="M210" i="1" s="1"/>
  <c r="M240" i="1"/>
  <c r="E184" i="1"/>
  <c r="Q184" i="1" s="1"/>
  <c r="I184" i="1"/>
  <c r="J184" i="1" s="1"/>
  <c r="E175" i="1"/>
  <c r="Q175" i="1" s="1"/>
  <c r="L148" i="1"/>
  <c r="L193" i="1"/>
  <c r="M193" i="1" s="1"/>
  <c r="L163" i="1"/>
  <c r="M163" i="1" s="1"/>
  <c r="V141" i="1"/>
  <c r="E224" i="1"/>
  <c r="Q224" i="1" s="1"/>
  <c r="I224" i="1"/>
  <c r="J224" i="1" s="1"/>
  <c r="E194" i="1"/>
  <c r="Q194" i="1" s="1"/>
  <c r="I253" i="1"/>
  <c r="J253" i="1" s="1"/>
  <c r="L253" i="1"/>
  <c r="M253" i="1" s="1"/>
  <c r="I268" i="1"/>
  <c r="J268" i="1" s="1"/>
  <c r="W268" i="1" s="1"/>
  <c r="E268" i="1"/>
  <c r="Q268" i="1" s="1"/>
  <c r="I220" i="1"/>
  <c r="J220" i="1" s="1"/>
  <c r="L220" i="1"/>
  <c r="M220" i="1" s="1"/>
  <c r="E246" i="1"/>
  <c r="Q246" i="1" s="1"/>
  <c r="I246" i="1"/>
  <c r="J246" i="1" s="1"/>
  <c r="I231" i="1"/>
  <c r="J231" i="1" s="1"/>
  <c r="L231" i="1"/>
  <c r="M231" i="1" s="1"/>
  <c r="M258" i="1"/>
  <c r="V258" i="1"/>
  <c r="M245" i="1"/>
  <c r="I281" i="1"/>
  <c r="J281" i="1" s="1"/>
  <c r="N281" i="1" s="1"/>
  <c r="E281" i="1"/>
  <c r="Q281" i="1" s="1"/>
  <c r="I274" i="1"/>
  <c r="J274" i="1" s="1"/>
  <c r="W274" i="1" s="1"/>
  <c r="E274" i="1"/>
  <c r="Q274" i="1" s="1"/>
  <c r="E265" i="1"/>
  <c r="Q265" i="1" s="1"/>
  <c r="I265" i="1"/>
  <c r="J265" i="1" s="1"/>
  <c r="E260" i="1"/>
  <c r="Q260" i="1" s="1"/>
  <c r="I260" i="1"/>
  <c r="J260" i="1" s="1"/>
  <c r="N260" i="1" s="1"/>
  <c r="I254" i="1"/>
  <c r="J254" i="1" s="1"/>
  <c r="E254" i="1"/>
  <c r="Q254" i="1" s="1"/>
  <c r="E250" i="1"/>
  <c r="Q250" i="1" s="1"/>
  <c r="I250" i="1"/>
  <c r="J250" i="1" s="1"/>
  <c r="E262" i="1"/>
  <c r="Q262" i="1" s="1"/>
  <c r="I262" i="1"/>
  <c r="J262" i="1" s="1"/>
  <c r="N262" i="1" s="1"/>
  <c r="P257" i="1"/>
  <c r="M237" i="1"/>
  <c r="V237" i="1"/>
  <c r="I212" i="1"/>
  <c r="J212" i="1" s="1"/>
  <c r="L212" i="1"/>
  <c r="M212" i="1" s="1"/>
  <c r="V210" i="1"/>
  <c r="I247" i="1"/>
  <c r="J247" i="1" s="1"/>
  <c r="N247" i="1" s="1"/>
  <c r="E247" i="1"/>
  <c r="Q247" i="1" s="1"/>
  <c r="I244" i="1"/>
  <c r="J244" i="1" s="1"/>
  <c r="E244" i="1"/>
  <c r="Q244" i="1" s="1"/>
  <c r="M226" i="1"/>
  <c r="L215" i="1"/>
  <c r="L182" i="1"/>
  <c r="V139" i="1"/>
  <c r="E228" i="1"/>
  <c r="Q228" i="1" s="1"/>
  <c r="I228" i="1"/>
  <c r="J228" i="1" s="1"/>
  <c r="I218" i="1"/>
  <c r="J218" i="1" s="1"/>
  <c r="E218" i="1"/>
  <c r="Q218" i="1" s="1"/>
  <c r="I216" i="1"/>
  <c r="J216" i="1" s="1"/>
  <c r="E216" i="1"/>
  <c r="Q216" i="1" s="1"/>
  <c r="I233" i="1"/>
  <c r="J233" i="1" s="1"/>
  <c r="E233" i="1"/>
  <c r="Q233" i="1" s="1"/>
  <c r="L205" i="1"/>
  <c r="M205" i="1" s="1"/>
  <c r="E206" i="1"/>
  <c r="Q206" i="1" s="1"/>
  <c r="E202" i="1"/>
  <c r="Q202" i="1" s="1"/>
  <c r="E197" i="1"/>
  <c r="Q197" i="1" s="1"/>
  <c r="I197" i="1"/>
  <c r="J197" i="1" s="1"/>
  <c r="W197" i="1" s="1"/>
  <c r="E187" i="1"/>
  <c r="Q187" i="1" s="1"/>
  <c r="E178" i="1"/>
  <c r="Q178" i="1" s="1"/>
  <c r="I174" i="1"/>
  <c r="J174" i="1" s="1"/>
  <c r="L174" i="1"/>
  <c r="M174" i="1" s="1"/>
  <c r="I172" i="1"/>
  <c r="J172" i="1" s="1"/>
  <c r="E172" i="1"/>
  <c r="Q172" i="1" s="1"/>
  <c r="I170" i="1"/>
  <c r="J170" i="1" s="1"/>
  <c r="E170" i="1"/>
  <c r="Q170" i="1" s="1"/>
  <c r="I198" i="1"/>
  <c r="J198" i="1" s="1"/>
  <c r="L198" i="1"/>
  <c r="M198" i="1" s="1"/>
  <c r="E226" i="1"/>
  <c r="Q226" i="1" s="1"/>
  <c r="I226" i="1"/>
  <c r="J226" i="1" s="1"/>
  <c r="W226" i="1" s="1"/>
  <c r="M219" i="1"/>
  <c r="E214" i="1"/>
  <c r="Q214" i="1" s="1"/>
  <c r="I214" i="1"/>
  <c r="J214" i="1" s="1"/>
  <c r="E208" i="1"/>
  <c r="Q208" i="1" s="1"/>
  <c r="E199" i="1"/>
  <c r="Q199" i="1" s="1"/>
  <c r="E192" i="1"/>
  <c r="Q192" i="1" s="1"/>
  <c r="I192" i="1"/>
  <c r="J192" i="1" s="1"/>
  <c r="E188" i="1"/>
  <c r="Q188" i="1" s="1"/>
  <c r="E166" i="1"/>
  <c r="Q166" i="1" s="1"/>
  <c r="I229" i="1"/>
  <c r="J229" i="1" s="1"/>
  <c r="E229" i="1"/>
  <c r="Q229" i="1" s="1"/>
  <c r="E203" i="1"/>
  <c r="Q203" i="1" s="1"/>
  <c r="V198" i="1"/>
  <c r="W198" i="1" s="1"/>
  <c r="I211" i="1"/>
  <c r="J211" i="1" s="1"/>
  <c r="W211" i="1" s="1"/>
  <c r="E211" i="1"/>
  <c r="Q211" i="1" s="1"/>
  <c r="I232" i="1"/>
  <c r="J232" i="1" s="1"/>
  <c r="E232" i="1"/>
  <c r="Q232" i="1" s="1"/>
  <c r="L159" i="1"/>
  <c r="E227" i="1"/>
  <c r="Q227" i="1" s="1"/>
  <c r="E223" i="1"/>
  <c r="Q223" i="1" s="1"/>
  <c r="E215" i="1"/>
  <c r="Q215" i="1" s="1"/>
  <c r="I215" i="1"/>
  <c r="J215" i="1" s="1"/>
  <c r="I195" i="1"/>
  <c r="J195" i="1" s="1"/>
  <c r="E195" i="1"/>
  <c r="Q195" i="1" s="1"/>
  <c r="E185" i="1"/>
  <c r="Q185" i="1" s="1"/>
  <c r="L152" i="1"/>
  <c r="M152" i="1" s="1"/>
  <c r="I242" i="1"/>
  <c r="J242" i="1" s="1"/>
  <c r="L242" i="1"/>
  <c r="M242" i="1" s="1"/>
  <c r="I223" i="1"/>
  <c r="J223" i="1" s="1"/>
  <c r="L223" i="1"/>
  <c r="M223" i="1" s="1"/>
  <c r="L191" i="1"/>
  <c r="I191" i="1"/>
  <c r="J191" i="1" s="1"/>
  <c r="M215" i="1"/>
  <c r="I202" i="1"/>
  <c r="J202" i="1" s="1"/>
  <c r="L202" i="1"/>
  <c r="I194" i="1"/>
  <c r="J194" i="1" s="1"/>
  <c r="W194" i="1" s="1"/>
  <c r="L194" i="1"/>
  <c r="E156" i="1"/>
  <c r="Q156" i="1" s="1"/>
  <c r="E205" i="1"/>
  <c r="Q205" i="1" s="1"/>
  <c r="I205" i="1"/>
  <c r="J205" i="1" s="1"/>
  <c r="W205" i="1" s="1"/>
  <c r="V207" i="1"/>
  <c r="W207" i="1" s="1"/>
  <c r="V200" i="1"/>
  <c r="M197" i="1"/>
  <c r="V188" i="1"/>
  <c r="V194" i="1"/>
  <c r="V189" i="1"/>
  <c r="V160" i="1"/>
  <c r="V187" i="1"/>
  <c r="V181" i="1"/>
  <c r="V174" i="1"/>
  <c r="V170" i="1"/>
  <c r="V163" i="1"/>
  <c r="V159" i="1"/>
  <c r="V155" i="1"/>
  <c r="V151" i="1"/>
  <c r="V191" i="1"/>
  <c r="L168" i="1"/>
  <c r="V169" i="1"/>
  <c r="V167" i="1"/>
  <c r="V156" i="1"/>
  <c r="L145" i="1"/>
  <c r="V144" i="1"/>
  <c r="V142" i="1"/>
  <c r="V140" i="1"/>
  <c r="L115" i="1"/>
  <c r="E165" i="1"/>
  <c r="Q165" i="1" s="1"/>
  <c r="I200" i="1"/>
  <c r="J200" i="1" s="1"/>
  <c r="L200" i="1"/>
  <c r="M200" i="1" s="1"/>
  <c r="I187" i="1"/>
  <c r="J187" i="1" s="1"/>
  <c r="L187" i="1"/>
  <c r="V186" i="1"/>
  <c r="V184" i="1"/>
  <c r="W184" i="1" s="1"/>
  <c r="V171" i="1"/>
  <c r="V158" i="1"/>
  <c r="V148" i="1"/>
  <c r="I138" i="1"/>
  <c r="J138" i="1" s="1"/>
  <c r="L138" i="1"/>
  <c r="V176" i="1"/>
  <c r="W170" i="1"/>
  <c r="V154" i="1"/>
  <c r="V147" i="1"/>
  <c r="E129" i="1"/>
  <c r="Q129" i="1" s="1"/>
  <c r="L119" i="1"/>
  <c r="E221" i="1"/>
  <c r="Q221" i="1" s="1"/>
  <c r="I221" i="1"/>
  <c r="J221" i="1" s="1"/>
  <c r="N221" i="1" s="1"/>
  <c r="E183" i="1"/>
  <c r="Q183" i="1" s="1"/>
  <c r="V185" i="1"/>
  <c r="I164" i="1"/>
  <c r="J164" i="1" s="1"/>
  <c r="L164" i="1"/>
  <c r="M164" i="1" s="1"/>
  <c r="E160" i="1"/>
  <c r="Q160" i="1" s="1"/>
  <c r="L157" i="1"/>
  <c r="M157" i="1" s="1"/>
  <c r="L150" i="1"/>
  <c r="M150" i="1" s="1"/>
  <c r="L139" i="1"/>
  <c r="M139" i="1" s="1"/>
  <c r="E121" i="1"/>
  <c r="Q121" i="1" s="1"/>
  <c r="L141" i="1"/>
  <c r="V204" i="1"/>
  <c r="V202" i="1"/>
  <c r="M196" i="1"/>
  <c r="V192" i="1"/>
  <c r="E176" i="1"/>
  <c r="Q176" i="1" s="1"/>
  <c r="V173" i="1"/>
  <c r="V172" i="1"/>
  <c r="L167" i="1"/>
  <c r="V121" i="1"/>
  <c r="I182" i="1"/>
  <c r="J182" i="1" s="1"/>
  <c r="E182" i="1"/>
  <c r="Q182" i="1" s="1"/>
  <c r="E163" i="1"/>
  <c r="Q163" i="1" s="1"/>
  <c r="I163" i="1"/>
  <c r="J163" i="1" s="1"/>
  <c r="I227" i="1"/>
  <c r="J227" i="1" s="1"/>
  <c r="L227" i="1"/>
  <c r="M227" i="1" s="1"/>
  <c r="I206" i="1"/>
  <c r="J206" i="1" s="1"/>
  <c r="L206" i="1"/>
  <c r="M206" i="1" s="1"/>
  <c r="E193" i="1"/>
  <c r="Q193" i="1" s="1"/>
  <c r="I193" i="1"/>
  <c r="J193" i="1" s="1"/>
  <c r="M190" i="1"/>
  <c r="V190" i="1"/>
  <c r="V193" i="1"/>
  <c r="E186" i="1"/>
  <c r="Q186" i="1" s="1"/>
  <c r="I183" i="1"/>
  <c r="J183" i="1" s="1"/>
  <c r="L183" i="1"/>
  <c r="M183" i="1" s="1"/>
  <c r="V179" i="1"/>
  <c r="V162" i="1"/>
  <c r="V128" i="1"/>
  <c r="L180" i="1"/>
  <c r="M180" i="1" s="1"/>
  <c r="L137" i="1"/>
  <c r="E155" i="1"/>
  <c r="Q155" i="1" s="1"/>
  <c r="I203" i="1"/>
  <c r="J203" i="1" s="1"/>
  <c r="L203" i="1"/>
  <c r="M203" i="1" s="1"/>
  <c r="M195" i="1"/>
  <c r="P195" i="1" s="1"/>
  <c r="V195" i="1"/>
  <c r="M187" i="1"/>
  <c r="I178" i="1"/>
  <c r="J178" i="1" s="1"/>
  <c r="L178" i="1"/>
  <c r="M178" i="1" s="1"/>
  <c r="V180" i="1"/>
  <c r="E169" i="1"/>
  <c r="Q169" i="1" s="1"/>
  <c r="M170" i="1"/>
  <c r="N170" i="1" s="1"/>
  <c r="I160" i="1"/>
  <c r="J160" i="1" s="1"/>
  <c r="L160" i="1"/>
  <c r="M160" i="1" s="1"/>
  <c r="I156" i="1"/>
  <c r="J156" i="1" s="1"/>
  <c r="L156" i="1"/>
  <c r="M156" i="1" s="1"/>
  <c r="L149" i="1"/>
  <c r="V152" i="1"/>
  <c r="V149" i="1"/>
  <c r="L134" i="1"/>
  <c r="E189" i="1"/>
  <c r="Q189" i="1" s="1"/>
  <c r="L133" i="1"/>
  <c r="M133" i="1" s="1"/>
  <c r="I185" i="1"/>
  <c r="J185" i="1" s="1"/>
  <c r="L185" i="1"/>
  <c r="M185" i="1" s="1"/>
  <c r="I173" i="1"/>
  <c r="J173" i="1" s="1"/>
  <c r="L173" i="1"/>
  <c r="M173" i="1" s="1"/>
  <c r="E135" i="1"/>
  <c r="Q135" i="1" s="1"/>
  <c r="E153" i="1"/>
  <c r="Q153" i="1" s="1"/>
  <c r="I208" i="1"/>
  <c r="J208" i="1" s="1"/>
  <c r="L208" i="1"/>
  <c r="M208" i="1" s="1"/>
  <c r="I199" i="1"/>
  <c r="J199" i="1" s="1"/>
  <c r="L199" i="1"/>
  <c r="M199" i="1" s="1"/>
  <c r="M191" i="1"/>
  <c r="L179" i="1"/>
  <c r="I166" i="1"/>
  <c r="J166" i="1" s="1"/>
  <c r="L166" i="1"/>
  <c r="M166" i="1" s="1"/>
  <c r="L158" i="1"/>
  <c r="M158" i="1" s="1"/>
  <c r="I155" i="1"/>
  <c r="J155" i="1" s="1"/>
  <c r="L155" i="1"/>
  <c r="M155" i="1" s="1"/>
  <c r="E151" i="1"/>
  <c r="Q151" i="1" s="1"/>
  <c r="L147" i="1"/>
  <c r="V150" i="1"/>
  <c r="M148" i="1"/>
  <c r="I129" i="1"/>
  <c r="J129" i="1" s="1"/>
  <c r="L129" i="1"/>
  <c r="L130" i="1"/>
  <c r="M130" i="1" s="1"/>
  <c r="L126" i="1"/>
  <c r="V127" i="1"/>
  <c r="I121" i="1"/>
  <c r="J121" i="1" s="1"/>
  <c r="L121" i="1"/>
  <c r="M121" i="1" s="1"/>
  <c r="L118" i="1"/>
  <c r="I188" i="1"/>
  <c r="J188" i="1" s="1"/>
  <c r="L188" i="1"/>
  <c r="M188" i="1" s="1"/>
  <c r="I175" i="1"/>
  <c r="J175" i="1" s="1"/>
  <c r="L175" i="1"/>
  <c r="M175" i="1" s="1"/>
  <c r="L140" i="1"/>
  <c r="M140" i="1" s="1"/>
  <c r="E139" i="1"/>
  <c r="Q139" i="1" s="1"/>
  <c r="I139" i="1"/>
  <c r="J139" i="1" s="1"/>
  <c r="P139" i="1" s="1"/>
  <c r="L131" i="1"/>
  <c r="M131" i="1" s="1"/>
  <c r="E152" i="1"/>
  <c r="Q152" i="1" s="1"/>
  <c r="I152" i="1"/>
  <c r="J152" i="1" s="1"/>
  <c r="E167" i="1"/>
  <c r="Q167" i="1" s="1"/>
  <c r="I167" i="1"/>
  <c r="J167" i="1" s="1"/>
  <c r="I165" i="1"/>
  <c r="J165" i="1" s="1"/>
  <c r="L165" i="1"/>
  <c r="M165" i="1" s="1"/>
  <c r="M168" i="1"/>
  <c r="V168" i="1"/>
  <c r="V164" i="1"/>
  <c r="E177" i="1"/>
  <c r="Q177" i="1" s="1"/>
  <c r="I177" i="1"/>
  <c r="J177" i="1" s="1"/>
  <c r="E150" i="1"/>
  <c r="Q150" i="1" s="1"/>
  <c r="I150" i="1"/>
  <c r="J150" i="1" s="1"/>
  <c r="V203" i="1"/>
  <c r="V234" i="1"/>
  <c r="W234" i="1" s="1"/>
  <c r="I243" i="1"/>
  <c r="J243" i="1" s="1"/>
  <c r="L243" i="1"/>
  <c r="M243" i="1" s="1"/>
  <c r="I171" i="1"/>
  <c r="J171" i="1" s="1"/>
  <c r="L171" i="1"/>
  <c r="M171" i="1" s="1"/>
  <c r="V166" i="1"/>
  <c r="V161" i="1"/>
  <c r="I153" i="1"/>
  <c r="J153" i="1" s="1"/>
  <c r="L153" i="1"/>
  <c r="V153" i="1"/>
  <c r="I169" i="1"/>
  <c r="J169" i="1" s="1"/>
  <c r="L169" i="1"/>
  <c r="M169" i="1" s="1"/>
  <c r="E161" i="1"/>
  <c r="Q161" i="1" s="1"/>
  <c r="M211" i="1"/>
  <c r="P211" i="1" s="1"/>
  <c r="V183" i="1"/>
  <c r="M182" i="1"/>
  <c r="P182" i="1" s="1"/>
  <c r="V182" i="1"/>
  <c r="V178" i="1"/>
  <c r="M177" i="1"/>
  <c r="V177" i="1"/>
  <c r="I161" i="1"/>
  <c r="J161" i="1" s="1"/>
  <c r="L161" i="1"/>
  <c r="M161" i="1" s="1"/>
  <c r="M159" i="1"/>
  <c r="L154" i="1"/>
  <c r="M154" i="1" s="1"/>
  <c r="I151" i="1"/>
  <c r="J151" i="1" s="1"/>
  <c r="L151" i="1"/>
  <c r="M151" i="1" s="1"/>
  <c r="V146" i="1"/>
  <c r="L136" i="1"/>
  <c r="I180" i="1"/>
  <c r="J180" i="1" s="1"/>
  <c r="E180" i="1"/>
  <c r="Q180" i="1" s="1"/>
  <c r="E157" i="1"/>
  <c r="Q157" i="1" s="1"/>
  <c r="I157" i="1"/>
  <c r="J157" i="1" s="1"/>
  <c r="E130" i="1"/>
  <c r="Q130" i="1" s="1"/>
  <c r="I130" i="1"/>
  <c r="J130" i="1" s="1"/>
  <c r="V126" i="1"/>
  <c r="L181" i="1"/>
  <c r="M181" i="1" s="1"/>
  <c r="I159" i="1"/>
  <c r="J159" i="1" s="1"/>
  <c r="E159" i="1"/>
  <c r="Q159" i="1" s="1"/>
  <c r="P235" i="1"/>
  <c r="I230" i="1"/>
  <c r="J230" i="1" s="1"/>
  <c r="E230" i="1"/>
  <c r="Q230" i="1" s="1"/>
  <c r="I201" i="1"/>
  <c r="J201" i="1" s="1"/>
  <c r="W201" i="1" s="1"/>
  <c r="L201" i="1"/>
  <c r="M201" i="1" s="1"/>
  <c r="E190" i="1"/>
  <c r="Q190" i="1" s="1"/>
  <c r="I190" i="1"/>
  <c r="J190" i="1" s="1"/>
  <c r="I186" i="1"/>
  <c r="J186" i="1" s="1"/>
  <c r="L186" i="1"/>
  <c r="M186" i="1" s="1"/>
  <c r="I176" i="1"/>
  <c r="J176" i="1" s="1"/>
  <c r="L176" i="1"/>
  <c r="M176" i="1" s="1"/>
  <c r="I168" i="1"/>
  <c r="J168" i="1" s="1"/>
  <c r="E168" i="1"/>
  <c r="Q168" i="1" s="1"/>
  <c r="L162" i="1"/>
  <c r="M162" i="1" s="1"/>
  <c r="V165" i="1"/>
  <c r="E154" i="1"/>
  <c r="Q154" i="1" s="1"/>
  <c r="I154" i="1"/>
  <c r="J154" i="1" s="1"/>
  <c r="L132" i="1"/>
  <c r="L128" i="1"/>
  <c r="M128" i="1" s="1"/>
  <c r="V123" i="1"/>
  <c r="E120" i="1"/>
  <c r="Q120" i="1" s="1"/>
  <c r="M179" i="1"/>
  <c r="M167" i="1"/>
  <c r="M202" i="1"/>
  <c r="M194" i="1"/>
  <c r="M192" i="1"/>
  <c r="P192" i="1" s="1"/>
  <c r="E179" i="1"/>
  <c r="Q179" i="1" s="1"/>
  <c r="I179" i="1"/>
  <c r="J179" i="1" s="1"/>
  <c r="V175" i="1"/>
  <c r="L144" i="1"/>
  <c r="M144" i="1" s="1"/>
  <c r="M147" i="1"/>
  <c r="I135" i="1"/>
  <c r="J135" i="1" s="1"/>
  <c r="L135" i="1"/>
  <c r="M135" i="1" s="1"/>
  <c r="V157" i="1"/>
  <c r="M153" i="1"/>
  <c r="E181" i="1"/>
  <c r="Q181" i="1" s="1"/>
  <c r="I181" i="1"/>
  <c r="J181" i="1" s="1"/>
  <c r="I134" i="1"/>
  <c r="J134" i="1" s="1"/>
  <c r="E134" i="1"/>
  <c r="Q134" i="1" s="1"/>
  <c r="V124" i="1"/>
  <c r="M149" i="1"/>
  <c r="V94" i="1"/>
  <c r="V137" i="1"/>
  <c r="L106" i="1"/>
  <c r="M106" i="1" s="1"/>
  <c r="V134" i="1"/>
  <c r="V107" i="1"/>
  <c r="V103" i="1"/>
  <c r="V91" i="1"/>
  <c r="V67" i="1"/>
  <c r="L86" i="1"/>
  <c r="M86" i="1" s="1"/>
  <c r="V133" i="1"/>
  <c r="V122" i="1"/>
  <c r="V65" i="1"/>
  <c r="V59" i="1"/>
  <c r="L146" i="1"/>
  <c r="M146" i="1" s="1"/>
  <c r="L143" i="1"/>
  <c r="M143" i="1" s="1"/>
  <c r="V143" i="1"/>
  <c r="I162" i="1"/>
  <c r="J162" i="1" s="1"/>
  <c r="E162" i="1"/>
  <c r="Q162" i="1" s="1"/>
  <c r="V106" i="1"/>
  <c r="V97" i="1"/>
  <c r="V81" i="1"/>
  <c r="V41" i="1"/>
  <c r="L79" i="1"/>
  <c r="M79" i="1" s="1"/>
  <c r="E149" i="1"/>
  <c r="Q149" i="1" s="1"/>
  <c r="I149" i="1"/>
  <c r="J149" i="1" s="1"/>
  <c r="L110" i="1"/>
  <c r="M110" i="1" s="1"/>
  <c r="L101" i="1"/>
  <c r="M101" i="1" s="1"/>
  <c r="V138" i="1"/>
  <c r="E125" i="1"/>
  <c r="Q125" i="1" s="1"/>
  <c r="I125" i="1"/>
  <c r="J125" i="1" s="1"/>
  <c r="V119" i="1"/>
  <c r="L100" i="1"/>
  <c r="V102" i="1"/>
  <c r="L75" i="1"/>
  <c r="M75" i="1" s="1"/>
  <c r="V76" i="1"/>
  <c r="V66" i="1"/>
  <c r="E146" i="1"/>
  <c r="Q146" i="1" s="1"/>
  <c r="I146" i="1"/>
  <c r="J146" i="1" s="1"/>
  <c r="L125" i="1"/>
  <c r="M125" i="1" s="1"/>
  <c r="V116" i="1"/>
  <c r="E128" i="1"/>
  <c r="Q128" i="1" s="1"/>
  <c r="I128" i="1"/>
  <c r="J128" i="1" s="1"/>
  <c r="W128" i="1" s="1"/>
  <c r="E127" i="1"/>
  <c r="Q127" i="1" s="1"/>
  <c r="V120" i="1"/>
  <c r="E115" i="1"/>
  <c r="Q115" i="1" s="1"/>
  <c r="I115" i="1"/>
  <c r="J115" i="1" s="1"/>
  <c r="L107" i="1"/>
  <c r="M107" i="1" s="1"/>
  <c r="V110" i="1"/>
  <c r="L95" i="1"/>
  <c r="M95" i="1" s="1"/>
  <c r="V95" i="1"/>
  <c r="L83" i="1"/>
  <c r="M83" i="1" s="1"/>
  <c r="V85" i="1"/>
  <c r="L80" i="1"/>
  <c r="V80" i="1"/>
  <c r="E61" i="1"/>
  <c r="Q61" i="1" s="1"/>
  <c r="V131" i="1"/>
  <c r="V130" i="1"/>
  <c r="E124" i="1"/>
  <c r="Q124" i="1" s="1"/>
  <c r="E114" i="1"/>
  <c r="Q114" i="1" s="1"/>
  <c r="L99" i="1"/>
  <c r="M141" i="1"/>
  <c r="I140" i="1"/>
  <c r="J140" i="1" s="1"/>
  <c r="E140" i="1"/>
  <c r="Q140" i="1" s="1"/>
  <c r="E158" i="1"/>
  <c r="Q158" i="1" s="1"/>
  <c r="I158" i="1"/>
  <c r="J158" i="1" s="1"/>
  <c r="W158" i="1" s="1"/>
  <c r="L142" i="1"/>
  <c r="M142" i="1" s="1"/>
  <c r="L122" i="1"/>
  <c r="M122" i="1" s="1"/>
  <c r="L117" i="1"/>
  <c r="V104" i="1"/>
  <c r="V96" i="1"/>
  <c r="V90" i="1"/>
  <c r="L72" i="1"/>
  <c r="M72" i="1" s="1"/>
  <c r="V70" i="1"/>
  <c r="L67" i="1"/>
  <c r="M67" i="1" s="1"/>
  <c r="E133" i="1"/>
  <c r="Q133" i="1" s="1"/>
  <c r="I133" i="1"/>
  <c r="J133" i="1" s="1"/>
  <c r="E131" i="1"/>
  <c r="Q131" i="1" s="1"/>
  <c r="I131" i="1"/>
  <c r="J131" i="1" s="1"/>
  <c r="E122" i="1"/>
  <c r="Q122" i="1" s="1"/>
  <c r="I122" i="1"/>
  <c r="J122" i="1" s="1"/>
  <c r="E117" i="1"/>
  <c r="Q117" i="1" s="1"/>
  <c r="I117" i="1"/>
  <c r="J117" i="1" s="1"/>
  <c r="I114" i="1"/>
  <c r="J114" i="1" s="1"/>
  <c r="L114" i="1"/>
  <c r="M114" i="1" s="1"/>
  <c r="V109" i="1"/>
  <c r="V93" i="1"/>
  <c r="V84" i="1"/>
  <c r="L70" i="1"/>
  <c r="M70" i="1" s="1"/>
  <c r="V69" i="1"/>
  <c r="V64" i="1"/>
  <c r="V135" i="1"/>
  <c r="L123" i="1"/>
  <c r="M123" i="1" s="1"/>
  <c r="V111" i="1"/>
  <c r="L104" i="1"/>
  <c r="M104" i="1" s="1"/>
  <c r="V105" i="1"/>
  <c r="L94" i="1"/>
  <c r="M94" i="1" s="1"/>
  <c r="V75" i="1"/>
  <c r="V74" i="1"/>
  <c r="V71" i="1"/>
  <c r="V39" i="1"/>
  <c r="I120" i="1"/>
  <c r="J120" i="1" s="1"/>
  <c r="L120" i="1"/>
  <c r="M120" i="1" s="1"/>
  <c r="E116" i="1"/>
  <c r="Q116" i="1" s="1"/>
  <c r="L93" i="1"/>
  <c r="V108" i="1"/>
  <c r="L98" i="1"/>
  <c r="M98" i="1" s="1"/>
  <c r="L81" i="1"/>
  <c r="V83" i="1"/>
  <c r="V63" i="1"/>
  <c r="V52" i="1"/>
  <c r="V47" i="1"/>
  <c r="V145" i="1"/>
  <c r="I136" i="1"/>
  <c r="J136" i="1" s="1"/>
  <c r="E136" i="1"/>
  <c r="Q136" i="1" s="1"/>
  <c r="I118" i="1"/>
  <c r="J118" i="1" s="1"/>
  <c r="E118" i="1"/>
  <c r="Q118" i="1" s="1"/>
  <c r="I189" i="1"/>
  <c r="J189" i="1" s="1"/>
  <c r="L189" i="1"/>
  <c r="M189" i="1" s="1"/>
  <c r="I137" i="1"/>
  <c r="J137" i="1" s="1"/>
  <c r="E137" i="1"/>
  <c r="Q137" i="1" s="1"/>
  <c r="I124" i="1"/>
  <c r="J124" i="1" s="1"/>
  <c r="L124" i="1"/>
  <c r="M124" i="1" s="1"/>
  <c r="L102" i="1"/>
  <c r="M102" i="1" s="1"/>
  <c r="L84" i="1"/>
  <c r="M84" i="1" s="1"/>
  <c r="L73" i="1"/>
  <c r="M73" i="1" s="1"/>
  <c r="L91" i="1"/>
  <c r="M91" i="1" s="1"/>
  <c r="L82" i="1"/>
  <c r="M82" i="1" s="1"/>
  <c r="V68" i="1"/>
  <c r="I132" i="1"/>
  <c r="J132" i="1" s="1"/>
  <c r="E132" i="1"/>
  <c r="Q132" i="1" s="1"/>
  <c r="I126" i="1"/>
  <c r="J126" i="1" s="1"/>
  <c r="E126" i="1"/>
  <c r="Q126" i="1" s="1"/>
  <c r="I119" i="1"/>
  <c r="J119" i="1" s="1"/>
  <c r="E119" i="1"/>
  <c r="Q119" i="1" s="1"/>
  <c r="E145" i="1"/>
  <c r="Q145" i="1" s="1"/>
  <c r="I145" i="1"/>
  <c r="J145" i="1" s="1"/>
  <c r="W145" i="1" s="1"/>
  <c r="M136" i="1"/>
  <c r="V136" i="1"/>
  <c r="E112" i="1"/>
  <c r="Q112" i="1" s="1"/>
  <c r="V101" i="1"/>
  <c r="M99" i="1"/>
  <c r="V99" i="1"/>
  <c r="V82" i="1"/>
  <c r="L77" i="1"/>
  <c r="V77" i="1"/>
  <c r="V72" i="1"/>
  <c r="M145" i="1"/>
  <c r="V117" i="1"/>
  <c r="V118" i="1"/>
  <c r="I116" i="1"/>
  <c r="J116" i="1" s="1"/>
  <c r="L116" i="1"/>
  <c r="M116" i="1" s="1"/>
  <c r="E113" i="1"/>
  <c r="Q113" i="1" s="1"/>
  <c r="L89" i="1"/>
  <c r="M89" i="1" s="1"/>
  <c r="V79" i="1"/>
  <c r="V78" i="1"/>
  <c r="L65" i="1"/>
  <c r="L62" i="1"/>
  <c r="V57" i="1"/>
  <c r="E45" i="1"/>
  <c r="Q45" i="1" s="1"/>
  <c r="L87" i="1"/>
  <c r="M87" i="1" s="1"/>
  <c r="I144" i="1"/>
  <c r="J144" i="1" s="1"/>
  <c r="E144" i="1"/>
  <c r="Q144" i="1" s="1"/>
  <c r="I127" i="1"/>
  <c r="J127" i="1" s="1"/>
  <c r="W127" i="1" s="1"/>
  <c r="L127" i="1"/>
  <c r="M127" i="1" s="1"/>
  <c r="V125" i="1"/>
  <c r="L88" i="1"/>
  <c r="M138" i="1"/>
  <c r="M132" i="1"/>
  <c r="V132" i="1"/>
  <c r="L97" i="1"/>
  <c r="M97" i="1" s="1"/>
  <c r="M100" i="1"/>
  <c r="V100" i="1"/>
  <c r="V98" i="1"/>
  <c r="V88" i="1"/>
  <c r="V87" i="1"/>
  <c r="L63" i="1"/>
  <c r="M63" i="1" s="1"/>
  <c r="E147" i="1"/>
  <c r="Q147" i="1" s="1"/>
  <c r="I147" i="1"/>
  <c r="J147" i="1" s="1"/>
  <c r="L48" i="1"/>
  <c r="M48" i="1" s="1"/>
  <c r="M80" i="1"/>
  <c r="V430" i="1"/>
  <c r="V438" i="1"/>
  <c r="V478" i="1"/>
  <c r="V455" i="1"/>
  <c r="V385" i="1"/>
  <c r="V129" i="1"/>
  <c r="M117" i="1"/>
  <c r="L53" i="1"/>
  <c r="V51" i="1"/>
  <c r="V421" i="1"/>
  <c r="V44" i="1"/>
  <c r="V380" i="1"/>
  <c r="L111" i="1"/>
  <c r="M111" i="1" s="1"/>
  <c r="V441" i="1"/>
  <c r="V407" i="1"/>
  <c r="V40" i="1"/>
  <c r="V413" i="1"/>
  <c r="V433" i="1"/>
  <c r="V470" i="1"/>
  <c r="V423" i="1"/>
  <c r="V427" i="1"/>
  <c r="V92" i="1"/>
  <c r="V73" i="1"/>
  <c r="I142" i="1"/>
  <c r="J142" i="1" s="1"/>
  <c r="E142" i="1"/>
  <c r="Q142" i="1" s="1"/>
  <c r="L52" i="1"/>
  <c r="L76" i="1"/>
  <c r="M76" i="1" s="1"/>
  <c r="M375" i="1"/>
  <c r="N375" i="1" s="1"/>
  <c r="V453" i="1"/>
  <c r="V465" i="1"/>
  <c r="V426" i="1"/>
  <c r="L384" i="1"/>
  <c r="E46" i="1"/>
  <c r="Q46" i="1" s="1"/>
  <c r="V381" i="1"/>
  <c r="E108" i="1"/>
  <c r="Q108" i="1" s="1"/>
  <c r="E102" i="1"/>
  <c r="Q102" i="1" s="1"/>
  <c r="I102" i="1"/>
  <c r="J102" i="1" s="1"/>
  <c r="E95" i="1"/>
  <c r="Q95" i="1" s="1"/>
  <c r="I95" i="1"/>
  <c r="J95" i="1" s="1"/>
  <c r="E88" i="1"/>
  <c r="Q88" i="1" s="1"/>
  <c r="I88" i="1"/>
  <c r="J88" i="1" s="1"/>
  <c r="E85" i="1"/>
  <c r="Q85" i="1" s="1"/>
  <c r="E81" i="1"/>
  <c r="Q81" i="1" s="1"/>
  <c r="I81" i="1"/>
  <c r="J81" i="1" s="1"/>
  <c r="E78" i="1"/>
  <c r="Q78" i="1" s="1"/>
  <c r="E64" i="1"/>
  <c r="Q64" i="1" s="1"/>
  <c r="E378" i="1"/>
  <c r="Q378" i="1" s="1"/>
  <c r="V386" i="1"/>
  <c r="L401" i="1"/>
  <c r="V417" i="1"/>
  <c r="L428" i="1"/>
  <c r="V434" i="1"/>
  <c r="V458" i="1"/>
  <c r="E393" i="1"/>
  <c r="Q393" i="1" s="1"/>
  <c r="L414" i="1"/>
  <c r="E438" i="1"/>
  <c r="Q438" i="1" s="1"/>
  <c r="L40" i="1"/>
  <c r="M40" i="1" s="1"/>
  <c r="E110" i="1"/>
  <c r="Q110" i="1" s="1"/>
  <c r="I110" i="1"/>
  <c r="J110" i="1" s="1"/>
  <c r="E100" i="1"/>
  <c r="Q100" i="1" s="1"/>
  <c r="I100" i="1"/>
  <c r="J100" i="1" s="1"/>
  <c r="E96" i="1"/>
  <c r="Q96" i="1" s="1"/>
  <c r="E93" i="1"/>
  <c r="Q93" i="1" s="1"/>
  <c r="I93" i="1"/>
  <c r="J93" i="1" s="1"/>
  <c r="E70" i="1"/>
  <c r="Q70" i="1" s="1"/>
  <c r="I70" i="1"/>
  <c r="J70" i="1" s="1"/>
  <c r="L60" i="1"/>
  <c r="M60" i="1" s="1"/>
  <c r="V55" i="1"/>
  <c r="V45" i="1"/>
  <c r="V401" i="1"/>
  <c r="L424" i="1"/>
  <c r="E62" i="1"/>
  <c r="Q62" i="1" s="1"/>
  <c r="I62" i="1"/>
  <c r="J62" i="1" s="1"/>
  <c r="E380" i="1"/>
  <c r="Q380" i="1" s="1"/>
  <c r="V402" i="1"/>
  <c r="I401" i="1"/>
  <c r="J401" i="1" s="1"/>
  <c r="E401" i="1"/>
  <c r="Q401" i="1" s="1"/>
  <c r="L413" i="1"/>
  <c r="M413" i="1" s="1"/>
  <c r="V442" i="1"/>
  <c r="V474" i="1"/>
  <c r="L388" i="1"/>
  <c r="L392" i="1"/>
  <c r="M392" i="1" s="1"/>
  <c r="V443" i="1"/>
  <c r="L460" i="1"/>
  <c r="M460" i="1" s="1"/>
  <c r="L68" i="1"/>
  <c r="M68" i="1" s="1"/>
  <c r="E44" i="1"/>
  <c r="Q44" i="1" s="1"/>
  <c r="E143" i="1"/>
  <c r="Q143" i="1" s="1"/>
  <c r="I143" i="1"/>
  <c r="J143" i="1" s="1"/>
  <c r="M129" i="1"/>
  <c r="L105" i="1"/>
  <c r="M105" i="1" s="1"/>
  <c r="E97" i="1"/>
  <c r="Q97" i="1" s="1"/>
  <c r="I97" i="1"/>
  <c r="J97" i="1" s="1"/>
  <c r="I85" i="1"/>
  <c r="J85" i="1" s="1"/>
  <c r="L85" i="1"/>
  <c r="M85" i="1" s="1"/>
  <c r="I82" i="1"/>
  <c r="J82" i="1" s="1"/>
  <c r="E82" i="1"/>
  <c r="Q82" i="1" s="1"/>
  <c r="I76" i="1"/>
  <c r="J76" i="1" s="1"/>
  <c r="E76" i="1"/>
  <c r="Q76" i="1" s="1"/>
  <c r="E73" i="1"/>
  <c r="Q73" i="1" s="1"/>
  <c r="I73" i="1"/>
  <c r="J73" i="1" s="1"/>
  <c r="E68" i="1"/>
  <c r="Q68" i="1" s="1"/>
  <c r="I68" i="1"/>
  <c r="J68" i="1" s="1"/>
  <c r="E66" i="1"/>
  <c r="Q66" i="1" s="1"/>
  <c r="V89" i="1"/>
  <c r="V86" i="1"/>
  <c r="V61" i="1"/>
  <c r="E90" i="1"/>
  <c r="Q90" i="1" s="1"/>
  <c r="I44" i="1"/>
  <c r="J44" i="1" s="1"/>
  <c r="L44" i="1"/>
  <c r="M44" i="1" s="1"/>
  <c r="L38" i="1"/>
  <c r="L381" i="1"/>
  <c r="M381" i="1" s="1"/>
  <c r="L74" i="1"/>
  <c r="M74" i="1" s="1"/>
  <c r="L57" i="1"/>
  <c r="M57" i="1" s="1"/>
  <c r="L50" i="1"/>
  <c r="M50" i="1" s="1"/>
  <c r="V457" i="1"/>
  <c r="V394" i="1"/>
  <c r="V446" i="1"/>
  <c r="V462" i="1"/>
  <c r="V399" i="1"/>
  <c r="L417" i="1"/>
  <c r="M417" i="1" s="1"/>
  <c r="L426" i="1"/>
  <c r="M426" i="1" s="1"/>
  <c r="L441" i="1"/>
  <c r="M441" i="1" s="1"/>
  <c r="V451" i="1"/>
  <c r="V459" i="1"/>
  <c r="L39" i="1"/>
  <c r="M39" i="1" s="1"/>
  <c r="I53" i="1"/>
  <c r="J53" i="1" s="1"/>
  <c r="E53" i="1"/>
  <c r="Q53" i="1" s="1"/>
  <c r="I141" i="1"/>
  <c r="J141" i="1" s="1"/>
  <c r="W141" i="1" s="1"/>
  <c r="E141" i="1"/>
  <c r="Q141" i="1" s="1"/>
  <c r="M126" i="1"/>
  <c r="P126" i="1" s="1"/>
  <c r="M118" i="1"/>
  <c r="I96" i="1"/>
  <c r="J96" i="1" s="1"/>
  <c r="L96" i="1"/>
  <c r="M96" i="1" s="1"/>
  <c r="L49" i="1"/>
  <c r="E47" i="1"/>
  <c r="Q47" i="1" s="1"/>
  <c r="L404" i="1"/>
  <c r="M404" i="1" s="1"/>
  <c r="V445" i="1"/>
  <c r="L385" i="1"/>
  <c r="M385" i="1" s="1"/>
  <c r="V406" i="1"/>
  <c r="V410" i="1"/>
  <c r="L434" i="1"/>
  <c r="M434" i="1" s="1"/>
  <c r="E440" i="1"/>
  <c r="Q440" i="1" s="1"/>
  <c r="V466" i="1"/>
  <c r="E63" i="1"/>
  <c r="Q63" i="1" s="1"/>
  <c r="I63" i="1"/>
  <c r="J63" i="1" s="1"/>
  <c r="V46" i="1"/>
  <c r="E379" i="1"/>
  <c r="Q379" i="1" s="1"/>
  <c r="E403" i="1"/>
  <c r="Q403" i="1" s="1"/>
  <c r="L406" i="1"/>
  <c r="M406" i="1" s="1"/>
  <c r="V411" i="1"/>
  <c r="V415" i="1"/>
  <c r="E425" i="1"/>
  <c r="Q425" i="1" s="1"/>
  <c r="L430" i="1"/>
  <c r="M430" i="1" s="1"/>
  <c r="L439" i="1"/>
  <c r="L462" i="1"/>
  <c r="V467" i="1"/>
  <c r="E60" i="1"/>
  <c r="Q60" i="1" s="1"/>
  <c r="I60" i="1"/>
  <c r="J60" i="1" s="1"/>
  <c r="E51" i="1"/>
  <c r="Q51" i="1" s="1"/>
  <c r="L56" i="1"/>
  <c r="I38" i="1"/>
  <c r="J38" i="1" s="1"/>
  <c r="E38" i="1"/>
  <c r="Q38" i="1" s="1"/>
  <c r="I113" i="1"/>
  <c r="J113" i="1" s="1"/>
  <c r="L113" i="1"/>
  <c r="M113" i="1" s="1"/>
  <c r="E103" i="1"/>
  <c r="Q103" i="1" s="1"/>
  <c r="I90" i="1"/>
  <c r="J90" i="1" s="1"/>
  <c r="L90" i="1"/>
  <c r="M90" i="1" s="1"/>
  <c r="E83" i="1"/>
  <c r="Q83" i="1" s="1"/>
  <c r="I83" i="1"/>
  <c r="J83" i="1" s="1"/>
  <c r="E79" i="1"/>
  <c r="Q79" i="1" s="1"/>
  <c r="I79" i="1"/>
  <c r="J79" i="1" s="1"/>
  <c r="E77" i="1"/>
  <c r="Q77" i="1" s="1"/>
  <c r="I77" i="1"/>
  <c r="J77" i="1" s="1"/>
  <c r="I64" i="1"/>
  <c r="J64" i="1" s="1"/>
  <c r="L64" i="1"/>
  <c r="M64" i="1" s="1"/>
  <c r="L58" i="1"/>
  <c r="M58" i="1" s="1"/>
  <c r="V60" i="1"/>
  <c r="I48" i="1"/>
  <c r="J48" i="1" s="1"/>
  <c r="E48" i="1"/>
  <c r="Q48" i="1" s="1"/>
  <c r="V50" i="1"/>
  <c r="V48" i="1"/>
  <c r="V405" i="1"/>
  <c r="L416" i="1"/>
  <c r="M416" i="1" s="1"/>
  <c r="V425" i="1"/>
  <c r="V390" i="1"/>
  <c r="V391" i="1"/>
  <c r="L397" i="1"/>
  <c r="M397" i="1" s="1"/>
  <c r="L405" i="1"/>
  <c r="M405" i="1" s="1"/>
  <c r="L410" i="1"/>
  <c r="M410" i="1" s="1"/>
  <c r="V418" i="1"/>
  <c r="I417" i="1"/>
  <c r="J417" i="1" s="1"/>
  <c r="E417" i="1"/>
  <c r="Q417" i="1" s="1"/>
  <c r="I425" i="1"/>
  <c r="J425" i="1" s="1"/>
  <c r="L425" i="1"/>
  <c r="M425" i="1" s="1"/>
  <c r="L440" i="1"/>
  <c r="M440" i="1" s="1"/>
  <c r="I440" i="1"/>
  <c r="J440" i="1" s="1"/>
  <c r="I66" i="1"/>
  <c r="J66" i="1" s="1"/>
  <c r="L66" i="1"/>
  <c r="M66" i="1" s="1"/>
  <c r="L386" i="1"/>
  <c r="M386" i="1" s="1"/>
  <c r="E391" i="1"/>
  <c r="Q391" i="1" s="1"/>
  <c r="L394" i="1"/>
  <c r="M394" i="1" s="1"/>
  <c r="L400" i="1"/>
  <c r="M400" i="1" s="1"/>
  <c r="L423" i="1"/>
  <c r="L436" i="1"/>
  <c r="E457" i="1"/>
  <c r="Q457" i="1" s="1"/>
  <c r="L382" i="1"/>
  <c r="M382" i="1" s="1"/>
  <c r="V389" i="1"/>
  <c r="L42" i="1"/>
  <c r="M42" i="1" s="1"/>
  <c r="I380" i="1"/>
  <c r="J380" i="1" s="1"/>
  <c r="L380" i="1"/>
  <c r="M380" i="1" s="1"/>
  <c r="L109" i="1"/>
  <c r="M109" i="1" s="1"/>
  <c r="I109" i="1"/>
  <c r="J109" i="1" s="1"/>
  <c r="E109" i="1"/>
  <c r="Q109" i="1" s="1"/>
  <c r="E104" i="1"/>
  <c r="Q104" i="1" s="1"/>
  <c r="I104" i="1"/>
  <c r="J104" i="1" s="1"/>
  <c r="L92" i="1"/>
  <c r="M92" i="1" s="1"/>
  <c r="I89" i="1"/>
  <c r="J89" i="1" s="1"/>
  <c r="E89" i="1"/>
  <c r="Q89" i="1" s="1"/>
  <c r="I78" i="1"/>
  <c r="J78" i="1" s="1"/>
  <c r="L78" i="1"/>
  <c r="M78" i="1" s="1"/>
  <c r="M77" i="1"/>
  <c r="I61" i="1"/>
  <c r="J61" i="1" s="1"/>
  <c r="L61" i="1"/>
  <c r="M61" i="1" s="1"/>
  <c r="L41" i="1"/>
  <c r="M41" i="1" s="1"/>
  <c r="I379" i="1"/>
  <c r="J379" i="1" s="1"/>
  <c r="W379" i="1" s="1"/>
  <c r="L379" i="1"/>
  <c r="M379" i="1" s="1"/>
  <c r="V384" i="1"/>
  <c r="V43" i="1"/>
  <c r="V42" i="1"/>
  <c r="V383" i="1"/>
  <c r="L402" i="1"/>
  <c r="L408" i="1"/>
  <c r="L420" i="1"/>
  <c r="M420" i="1" s="1"/>
  <c r="I438" i="1"/>
  <c r="J438" i="1" s="1"/>
  <c r="L438" i="1"/>
  <c r="V454" i="1"/>
  <c r="V419" i="1"/>
  <c r="L71" i="1"/>
  <c r="M71" i="1" s="1"/>
  <c r="M56" i="1"/>
  <c r="V56" i="1"/>
  <c r="I378" i="1"/>
  <c r="J378" i="1" s="1"/>
  <c r="W378" i="1" s="1"/>
  <c r="L378" i="1"/>
  <c r="M378" i="1" s="1"/>
  <c r="M137" i="1"/>
  <c r="P137" i="1" s="1"/>
  <c r="I123" i="1"/>
  <c r="J123" i="1" s="1"/>
  <c r="E123" i="1"/>
  <c r="Q123" i="1" s="1"/>
  <c r="M115" i="1"/>
  <c r="V115" i="1"/>
  <c r="V114" i="1"/>
  <c r="V113" i="1"/>
  <c r="V112" i="1"/>
  <c r="I103" i="1"/>
  <c r="J103" i="1" s="1"/>
  <c r="L103" i="1"/>
  <c r="M103" i="1" s="1"/>
  <c r="M93" i="1"/>
  <c r="I91" i="1"/>
  <c r="J91" i="1" s="1"/>
  <c r="E91" i="1"/>
  <c r="Q91" i="1" s="1"/>
  <c r="L59" i="1"/>
  <c r="M59" i="1" s="1"/>
  <c r="L55" i="1"/>
  <c r="M55" i="1" s="1"/>
  <c r="M53" i="1"/>
  <c r="V53" i="1"/>
  <c r="V398" i="1"/>
  <c r="V422" i="1"/>
  <c r="L398" i="1"/>
  <c r="M398" i="1" s="1"/>
  <c r="V382" i="1"/>
  <c r="I51" i="1"/>
  <c r="J51" i="1" s="1"/>
  <c r="L51" i="1"/>
  <c r="M51" i="1" s="1"/>
  <c r="E376" i="1"/>
  <c r="Q376" i="1" s="1"/>
  <c r="I112" i="1"/>
  <c r="J112" i="1" s="1"/>
  <c r="L112" i="1"/>
  <c r="M112" i="1" s="1"/>
  <c r="E105" i="1"/>
  <c r="Q105" i="1" s="1"/>
  <c r="I105" i="1"/>
  <c r="J105" i="1" s="1"/>
  <c r="E101" i="1"/>
  <c r="Q101" i="1" s="1"/>
  <c r="I101" i="1"/>
  <c r="J101" i="1" s="1"/>
  <c r="E94" i="1"/>
  <c r="Q94" i="1" s="1"/>
  <c r="I94" i="1"/>
  <c r="J94" i="1" s="1"/>
  <c r="E86" i="1"/>
  <c r="Q86" i="1" s="1"/>
  <c r="I86" i="1"/>
  <c r="J86" i="1" s="1"/>
  <c r="E84" i="1"/>
  <c r="Q84" i="1" s="1"/>
  <c r="I84" i="1"/>
  <c r="J84" i="1" s="1"/>
  <c r="E80" i="1"/>
  <c r="Q80" i="1" s="1"/>
  <c r="I80" i="1"/>
  <c r="J80" i="1" s="1"/>
  <c r="N80" i="1" s="1"/>
  <c r="I50" i="1"/>
  <c r="J50" i="1" s="1"/>
  <c r="E50" i="1"/>
  <c r="Q50" i="1" s="1"/>
  <c r="E42" i="1"/>
  <c r="Q42" i="1" s="1"/>
  <c r="I42" i="1"/>
  <c r="J42" i="1" s="1"/>
  <c r="W42" i="1" s="1"/>
  <c r="E39" i="1"/>
  <c r="Q39" i="1" s="1"/>
  <c r="I39" i="1"/>
  <c r="J39" i="1" s="1"/>
  <c r="I55" i="1"/>
  <c r="J55" i="1" s="1"/>
  <c r="E55" i="1"/>
  <c r="Q55" i="1" s="1"/>
  <c r="M388" i="1"/>
  <c r="V388" i="1"/>
  <c r="V409" i="1"/>
  <c r="L445" i="1"/>
  <c r="M445" i="1" s="1"/>
  <c r="E383" i="1"/>
  <c r="Q383" i="1" s="1"/>
  <c r="E397" i="1"/>
  <c r="Q397" i="1" s="1"/>
  <c r="I397" i="1"/>
  <c r="J397" i="1" s="1"/>
  <c r="M414" i="1"/>
  <c r="V414" i="1"/>
  <c r="E437" i="1"/>
  <c r="Q437" i="1" s="1"/>
  <c r="V450" i="1"/>
  <c r="I383" i="1"/>
  <c r="J383" i="1" s="1"/>
  <c r="L383" i="1"/>
  <c r="M383" i="1" s="1"/>
  <c r="L389" i="1"/>
  <c r="M389" i="1" s="1"/>
  <c r="V393" i="1"/>
  <c r="E402" i="1"/>
  <c r="Q402" i="1" s="1"/>
  <c r="I402" i="1"/>
  <c r="J402" i="1" s="1"/>
  <c r="E409" i="1"/>
  <c r="Q409" i="1" s="1"/>
  <c r="I409" i="1"/>
  <c r="J409" i="1" s="1"/>
  <c r="E419" i="1"/>
  <c r="Q419" i="1" s="1"/>
  <c r="L442" i="1"/>
  <c r="M442" i="1" s="1"/>
  <c r="I449" i="1"/>
  <c r="J449" i="1" s="1"/>
  <c r="E449" i="1"/>
  <c r="Q449" i="1" s="1"/>
  <c r="L453" i="1"/>
  <c r="M453" i="1" s="1"/>
  <c r="E465" i="1"/>
  <c r="Q465" i="1" s="1"/>
  <c r="I56" i="1"/>
  <c r="J56" i="1" s="1"/>
  <c r="E56" i="1"/>
  <c r="Q56" i="1" s="1"/>
  <c r="M62" i="1"/>
  <c r="V62" i="1"/>
  <c r="E52" i="1"/>
  <c r="Q52" i="1" s="1"/>
  <c r="I52" i="1"/>
  <c r="J52" i="1" s="1"/>
  <c r="W52" i="1" s="1"/>
  <c r="E43" i="1"/>
  <c r="Q43" i="1" s="1"/>
  <c r="I108" i="1"/>
  <c r="J108" i="1" s="1"/>
  <c r="L108" i="1"/>
  <c r="M108" i="1" s="1"/>
  <c r="I106" i="1"/>
  <c r="J106" i="1" s="1"/>
  <c r="W106" i="1" s="1"/>
  <c r="E106" i="1"/>
  <c r="Q106" i="1" s="1"/>
  <c r="E98" i="1"/>
  <c r="Q98" i="1" s="1"/>
  <c r="I98" i="1"/>
  <c r="J98" i="1" s="1"/>
  <c r="M88" i="1"/>
  <c r="I75" i="1"/>
  <c r="J75" i="1" s="1"/>
  <c r="E75" i="1"/>
  <c r="Q75" i="1" s="1"/>
  <c r="L69" i="1"/>
  <c r="M69" i="1" s="1"/>
  <c r="E71" i="1"/>
  <c r="Q71" i="1" s="1"/>
  <c r="I71" i="1"/>
  <c r="J71" i="1" s="1"/>
  <c r="E69" i="1"/>
  <c r="Q69" i="1" s="1"/>
  <c r="I69" i="1"/>
  <c r="J69" i="1" s="1"/>
  <c r="N69" i="1" s="1"/>
  <c r="I45" i="1"/>
  <c r="J45" i="1" s="1"/>
  <c r="L45" i="1"/>
  <c r="M45" i="1" s="1"/>
  <c r="L412" i="1"/>
  <c r="L418" i="1"/>
  <c r="M418" i="1" s="1"/>
  <c r="V429" i="1"/>
  <c r="V437" i="1"/>
  <c r="V449" i="1"/>
  <c r="E49" i="1"/>
  <c r="Q49" i="1" s="1"/>
  <c r="I49" i="1"/>
  <c r="J49" i="1" s="1"/>
  <c r="L390" i="1"/>
  <c r="M390" i="1" s="1"/>
  <c r="L409" i="1"/>
  <c r="M409" i="1" s="1"/>
  <c r="P409" i="1" s="1"/>
  <c r="E429" i="1"/>
  <c r="Q429" i="1" s="1"/>
  <c r="L433" i="1"/>
  <c r="M433" i="1" s="1"/>
  <c r="L449" i="1"/>
  <c r="M449" i="1" s="1"/>
  <c r="V387" i="1"/>
  <c r="E398" i="1"/>
  <c r="Q398" i="1" s="1"/>
  <c r="I398" i="1"/>
  <c r="J398" i="1" s="1"/>
  <c r="L415" i="1"/>
  <c r="M415" i="1" s="1"/>
  <c r="L421" i="1"/>
  <c r="M421" i="1" s="1"/>
  <c r="I47" i="1"/>
  <c r="J47" i="1" s="1"/>
  <c r="L47" i="1"/>
  <c r="M47" i="1" s="1"/>
  <c r="M49" i="1"/>
  <c r="V49" i="1"/>
  <c r="I46" i="1"/>
  <c r="J46" i="1" s="1"/>
  <c r="L46" i="1"/>
  <c r="M46" i="1" s="1"/>
  <c r="I376" i="1"/>
  <c r="J376" i="1" s="1"/>
  <c r="W376" i="1" s="1"/>
  <c r="L376" i="1"/>
  <c r="M376" i="1" s="1"/>
  <c r="E148" i="1"/>
  <c r="Q148" i="1" s="1"/>
  <c r="I148" i="1"/>
  <c r="J148" i="1" s="1"/>
  <c r="M134" i="1"/>
  <c r="P134" i="1" s="1"/>
  <c r="M119" i="1"/>
  <c r="E111" i="1"/>
  <c r="Q111" i="1" s="1"/>
  <c r="I111" i="1"/>
  <c r="J111" i="1" s="1"/>
  <c r="N111" i="1" s="1"/>
  <c r="I107" i="1"/>
  <c r="J107" i="1" s="1"/>
  <c r="E107" i="1"/>
  <c r="Q107" i="1" s="1"/>
  <c r="E99" i="1"/>
  <c r="Q99" i="1" s="1"/>
  <c r="I99" i="1"/>
  <c r="J99" i="1" s="1"/>
  <c r="E92" i="1"/>
  <c r="Q92" i="1" s="1"/>
  <c r="I92" i="1"/>
  <c r="J92" i="1" s="1"/>
  <c r="E87" i="1"/>
  <c r="Q87" i="1" s="1"/>
  <c r="I87" i="1"/>
  <c r="J87" i="1" s="1"/>
  <c r="M81" i="1"/>
  <c r="P81" i="1" s="1"/>
  <c r="I74" i="1"/>
  <c r="J74" i="1" s="1"/>
  <c r="E74" i="1"/>
  <c r="Q74" i="1" s="1"/>
  <c r="I72" i="1"/>
  <c r="J72" i="1" s="1"/>
  <c r="E72" i="1"/>
  <c r="Q72" i="1" s="1"/>
  <c r="I67" i="1"/>
  <c r="J67" i="1" s="1"/>
  <c r="E67" i="1"/>
  <c r="Q67" i="1" s="1"/>
  <c r="I65" i="1"/>
  <c r="J65" i="1" s="1"/>
  <c r="W65" i="1" s="1"/>
  <c r="E65" i="1"/>
  <c r="Q65" i="1" s="1"/>
  <c r="L54" i="1"/>
  <c r="I41" i="1"/>
  <c r="J41" i="1" s="1"/>
  <c r="E41" i="1"/>
  <c r="Q41" i="1" s="1"/>
  <c r="L377" i="1"/>
  <c r="M377" i="1" s="1"/>
  <c r="M384" i="1"/>
  <c r="E382" i="1"/>
  <c r="Q382" i="1" s="1"/>
  <c r="I382" i="1"/>
  <c r="J382" i="1" s="1"/>
  <c r="L432" i="1"/>
  <c r="M432" i="1" s="1"/>
  <c r="L456" i="1"/>
  <c r="M456" i="1" s="1"/>
  <c r="V461" i="1"/>
  <c r="E58" i="1"/>
  <c r="Q58" i="1" s="1"/>
  <c r="I58" i="1"/>
  <c r="J58" i="1" s="1"/>
  <c r="E385" i="1"/>
  <c r="Q385" i="1" s="1"/>
  <c r="I385" i="1"/>
  <c r="J385" i="1" s="1"/>
  <c r="M401" i="1"/>
  <c r="I416" i="1"/>
  <c r="J416" i="1" s="1"/>
  <c r="E416" i="1"/>
  <c r="Q416" i="1" s="1"/>
  <c r="I441" i="1"/>
  <c r="J441" i="1" s="1"/>
  <c r="W441" i="1" s="1"/>
  <c r="E441" i="1"/>
  <c r="Q441" i="1" s="1"/>
  <c r="I442" i="1"/>
  <c r="J442" i="1" s="1"/>
  <c r="E442" i="1"/>
  <c r="Q442" i="1" s="1"/>
  <c r="E446" i="1"/>
  <c r="Q446" i="1" s="1"/>
  <c r="L461" i="1"/>
  <c r="M461" i="1" s="1"/>
  <c r="E386" i="1"/>
  <c r="Q386" i="1" s="1"/>
  <c r="I386" i="1"/>
  <c r="J386" i="1" s="1"/>
  <c r="I392" i="1"/>
  <c r="J392" i="1" s="1"/>
  <c r="E392" i="1"/>
  <c r="Q392" i="1" s="1"/>
  <c r="I393" i="1"/>
  <c r="J393" i="1" s="1"/>
  <c r="L393" i="1"/>
  <c r="M393" i="1" s="1"/>
  <c r="E394" i="1"/>
  <c r="Q394" i="1" s="1"/>
  <c r="I394" i="1"/>
  <c r="J394" i="1" s="1"/>
  <c r="I390" i="1"/>
  <c r="J390" i="1" s="1"/>
  <c r="E390" i="1"/>
  <c r="Q390" i="1" s="1"/>
  <c r="M462" i="1"/>
  <c r="E377" i="1"/>
  <c r="Q377" i="1" s="1"/>
  <c r="I377" i="1"/>
  <c r="J377" i="1" s="1"/>
  <c r="E405" i="1"/>
  <c r="Q405" i="1" s="1"/>
  <c r="I405" i="1"/>
  <c r="J405" i="1" s="1"/>
  <c r="M65" i="1"/>
  <c r="V58" i="1"/>
  <c r="V547" i="1"/>
  <c r="V559" i="1"/>
  <c r="V579" i="1"/>
  <c r="L566" i="1"/>
  <c r="V493" i="1"/>
  <c r="V509" i="1"/>
  <c r="V529" i="1"/>
  <c r="V396" i="1"/>
  <c r="V397" i="1"/>
  <c r="V404" i="1"/>
  <c r="V428" i="1"/>
  <c r="L473" i="1"/>
  <c r="M473" i="1" s="1"/>
  <c r="V522" i="1"/>
  <c r="V567" i="1"/>
  <c r="I419" i="1"/>
  <c r="J419" i="1" s="1"/>
  <c r="L419" i="1"/>
  <c r="M419" i="1" s="1"/>
  <c r="V503" i="1"/>
  <c r="V519" i="1"/>
  <c r="V523" i="1"/>
  <c r="V535" i="1"/>
  <c r="V504" i="1"/>
  <c r="L506" i="1"/>
  <c r="V512" i="1"/>
  <c r="V576" i="1"/>
  <c r="V469" i="1"/>
  <c r="V471" i="1"/>
  <c r="L487" i="1"/>
  <c r="L540" i="1"/>
  <c r="L466" i="1"/>
  <c r="M466" i="1" s="1"/>
  <c r="V395" i="1"/>
  <c r="V420" i="1"/>
  <c r="V448" i="1"/>
  <c r="V539" i="1"/>
  <c r="V543" i="1"/>
  <c r="V540" i="1"/>
  <c r="V544" i="1"/>
  <c r="I43" i="1"/>
  <c r="J43" i="1" s="1"/>
  <c r="L43" i="1"/>
  <c r="M43" i="1" s="1"/>
  <c r="I57" i="1"/>
  <c r="J57" i="1" s="1"/>
  <c r="E57" i="1"/>
  <c r="Q57" i="1" s="1"/>
  <c r="E396" i="1"/>
  <c r="Q396" i="1" s="1"/>
  <c r="I437" i="1"/>
  <c r="J437" i="1" s="1"/>
  <c r="L437" i="1"/>
  <c r="M437" i="1" s="1"/>
  <c r="I389" i="1"/>
  <c r="J389" i="1" s="1"/>
  <c r="E389" i="1"/>
  <c r="Q389" i="1" s="1"/>
  <c r="I406" i="1"/>
  <c r="J406" i="1" s="1"/>
  <c r="E406" i="1"/>
  <c r="Q406" i="1" s="1"/>
  <c r="I418" i="1"/>
  <c r="J418" i="1" s="1"/>
  <c r="E418" i="1"/>
  <c r="Q418" i="1" s="1"/>
  <c r="V431" i="1"/>
  <c r="V439" i="1"/>
  <c r="V447" i="1"/>
  <c r="E450" i="1"/>
  <c r="Q450" i="1" s="1"/>
  <c r="I453" i="1"/>
  <c r="J453" i="1" s="1"/>
  <c r="E453" i="1"/>
  <c r="Q453" i="1" s="1"/>
  <c r="E458" i="1"/>
  <c r="Q458" i="1" s="1"/>
  <c r="W385" i="1"/>
  <c r="V408" i="1"/>
  <c r="L411" i="1"/>
  <c r="M411" i="1" s="1"/>
  <c r="V424" i="1"/>
  <c r="V432" i="1"/>
  <c r="V460" i="1"/>
  <c r="V507" i="1"/>
  <c r="V571" i="1"/>
  <c r="L533" i="1"/>
  <c r="M533" i="1" s="1"/>
  <c r="L543" i="1"/>
  <c r="L517" i="1"/>
  <c r="V545" i="1"/>
  <c r="L469" i="1"/>
  <c r="M469" i="1" s="1"/>
  <c r="L407" i="1"/>
  <c r="M407" i="1" s="1"/>
  <c r="L435" i="1"/>
  <c r="M435" i="1" s="1"/>
  <c r="V444" i="1"/>
  <c r="E448" i="1"/>
  <c r="Q448" i="1" s="1"/>
  <c r="E451" i="1"/>
  <c r="Q451" i="1" s="1"/>
  <c r="L467" i="1"/>
  <c r="M467" i="1" s="1"/>
  <c r="V491" i="1"/>
  <c r="L531" i="1"/>
  <c r="M531" i="1" s="1"/>
  <c r="L554" i="1"/>
  <c r="M554" i="1" s="1"/>
  <c r="L478" i="1"/>
  <c r="M478" i="1" s="1"/>
  <c r="L514" i="1"/>
  <c r="L538" i="1"/>
  <c r="E552" i="1"/>
  <c r="Q552" i="1" s="1"/>
  <c r="V562" i="1"/>
  <c r="E567" i="1"/>
  <c r="Q567" i="1" s="1"/>
  <c r="V481" i="1"/>
  <c r="V500" i="1"/>
  <c r="V518" i="1"/>
  <c r="L520" i="1"/>
  <c r="M520" i="1" s="1"/>
  <c r="V528" i="1"/>
  <c r="L534" i="1"/>
  <c r="E539" i="1"/>
  <c r="Q539" i="1" s="1"/>
  <c r="E544" i="1"/>
  <c r="Q544" i="1" s="1"/>
  <c r="L561" i="1"/>
  <c r="M561" i="1" s="1"/>
  <c r="E388" i="1"/>
  <c r="Q388" i="1" s="1"/>
  <c r="I388" i="1"/>
  <c r="J388" i="1" s="1"/>
  <c r="I421" i="1"/>
  <c r="J421" i="1" s="1"/>
  <c r="W421" i="1" s="1"/>
  <c r="E421" i="1"/>
  <c r="Q421" i="1" s="1"/>
  <c r="E439" i="1"/>
  <c r="Q439" i="1" s="1"/>
  <c r="I439" i="1"/>
  <c r="J439" i="1" s="1"/>
  <c r="L443" i="1"/>
  <c r="M443" i="1" s="1"/>
  <c r="E460" i="1"/>
  <c r="Q460" i="1" s="1"/>
  <c r="I460" i="1"/>
  <c r="J460" i="1" s="1"/>
  <c r="E463" i="1"/>
  <c r="Q463" i="1" s="1"/>
  <c r="V483" i="1"/>
  <c r="V495" i="1"/>
  <c r="L570" i="1"/>
  <c r="E485" i="1"/>
  <c r="Q485" i="1" s="1"/>
  <c r="L496" i="1"/>
  <c r="M496" i="1" s="1"/>
  <c r="V560" i="1"/>
  <c r="E569" i="1"/>
  <c r="Q569" i="1" s="1"/>
  <c r="L493" i="1"/>
  <c r="M493" i="1" s="1"/>
  <c r="E498" i="1"/>
  <c r="Q498" i="1" s="1"/>
  <c r="I552" i="1"/>
  <c r="J552" i="1" s="1"/>
  <c r="L552" i="1"/>
  <c r="M552" i="1" s="1"/>
  <c r="V557" i="1"/>
  <c r="L563" i="1"/>
  <c r="M563" i="1" s="1"/>
  <c r="E404" i="1"/>
  <c r="Q404" i="1" s="1"/>
  <c r="I404" i="1"/>
  <c r="J404" i="1" s="1"/>
  <c r="I408" i="1"/>
  <c r="J408" i="1" s="1"/>
  <c r="W408" i="1" s="1"/>
  <c r="E408" i="1"/>
  <c r="Q408" i="1" s="1"/>
  <c r="E426" i="1"/>
  <c r="Q426" i="1" s="1"/>
  <c r="I426" i="1"/>
  <c r="J426" i="1" s="1"/>
  <c r="W426" i="1" s="1"/>
  <c r="I451" i="1"/>
  <c r="J451" i="1" s="1"/>
  <c r="L451" i="1"/>
  <c r="M451" i="1" s="1"/>
  <c r="E454" i="1"/>
  <c r="Q454" i="1" s="1"/>
  <c r="I456" i="1"/>
  <c r="J456" i="1" s="1"/>
  <c r="E456" i="1"/>
  <c r="Q456" i="1" s="1"/>
  <c r="E459" i="1"/>
  <c r="Q459" i="1" s="1"/>
  <c r="L464" i="1"/>
  <c r="M464" i="1" s="1"/>
  <c r="V480" i="1"/>
  <c r="E478" i="1"/>
  <c r="Q478" i="1" s="1"/>
  <c r="I478" i="1"/>
  <c r="J478" i="1" s="1"/>
  <c r="E510" i="1"/>
  <c r="Q510" i="1" s="1"/>
  <c r="I514" i="1"/>
  <c r="J514" i="1" s="1"/>
  <c r="E514" i="1"/>
  <c r="Q514" i="1" s="1"/>
  <c r="E530" i="1"/>
  <c r="Q530" i="1" s="1"/>
  <c r="V536" i="1"/>
  <c r="E551" i="1"/>
  <c r="Q551" i="1" s="1"/>
  <c r="V479" i="1"/>
  <c r="M54" i="1"/>
  <c r="V54" i="1"/>
  <c r="I40" i="1"/>
  <c r="J40" i="1" s="1"/>
  <c r="W40" i="1" s="1"/>
  <c r="E40" i="1"/>
  <c r="Q40" i="1" s="1"/>
  <c r="L444" i="1"/>
  <c r="E54" i="1"/>
  <c r="Q54" i="1" s="1"/>
  <c r="I54" i="1"/>
  <c r="J54" i="1" s="1"/>
  <c r="I424" i="1"/>
  <c r="J424" i="1" s="1"/>
  <c r="W424" i="1" s="1"/>
  <c r="E424" i="1"/>
  <c r="Q424" i="1" s="1"/>
  <c r="I457" i="1"/>
  <c r="J457" i="1" s="1"/>
  <c r="W457" i="1" s="1"/>
  <c r="L457" i="1"/>
  <c r="M457" i="1" s="1"/>
  <c r="V403" i="1"/>
  <c r="E414" i="1"/>
  <c r="Q414" i="1" s="1"/>
  <c r="I414" i="1"/>
  <c r="J414" i="1" s="1"/>
  <c r="I446" i="1"/>
  <c r="J446" i="1" s="1"/>
  <c r="L446" i="1"/>
  <c r="M446" i="1" s="1"/>
  <c r="I465" i="1"/>
  <c r="J465" i="1" s="1"/>
  <c r="L465" i="1"/>
  <c r="M465" i="1" s="1"/>
  <c r="M52" i="1"/>
  <c r="P52" i="1" s="1"/>
  <c r="E381" i="1"/>
  <c r="Q381" i="1" s="1"/>
  <c r="I381" i="1"/>
  <c r="J381" i="1" s="1"/>
  <c r="L387" i="1"/>
  <c r="M387" i="1" s="1"/>
  <c r="I396" i="1"/>
  <c r="J396" i="1" s="1"/>
  <c r="L396" i="1"/>
  <c r="M396" i="1" s="1"/>
  <c r="L431" i="1"/>
  <c r="M431" i="1" s="1"/>
  <c r="V476" i="1"/>
  <c r="V499" i="1"/>
  <c r="L505" i="1"/>
  <c r="M505" i="1" s="1"/>
  <c r="V508" i="1"/>
  <c r="L546" i="1"/>
  <c r="V568" i="1"/>
  <c r="V485" i="1"/>
  <c r="L492" i="1"/>
  <c r="M492" i="1" s="1"/>
  <c r="L521" i="1"/>
  <c r="M521" i="1" s="1"/>
  <c r="L536" i="1"/>
  <c r="M536" i="1" s="1"/>
  <c r="V549" i="1"/>
  <c r="V473" i="1"/>
  <c r="L399" i="1"/>
  <c r="M399" i="1" s="1"/>
  <c r="E400" i="1"/>
  <c r="Q400" i="1" s="1"/>
  <c r="I400" i="1"/>
  <c r="J400" i="1" s="1"/>
  <c r="M402" i="1"/>
  <c r="P402" i="1" s="1"/>
  <c r="I415" i="1"/>
  <c r="J415" i="1" s="1"/>
  <c r="E415" i="1"/>
  <c r="Q415" i="1" s="1"/>
  <c r="L422" i="1"/>
  <c r="M422" i="1" s="1"/>
  <c r="M424" i="1"/>
  <c r="L455" i="1"/>
  <c r="M455" i="1" s="1"/>
  <c r="I458" i="1"/>
  <c r="J458" i="1" s="1"/>
  <c r="L458" i="1"/>
  <c r="M458" i="1" s="1"/>
  <c r="I461" i="1"/>
  <c r="J461" i="1" s="1"/>
  <c r="E461" i="1"/>
  <c r="Q461" i="1" s="1"/>
  <c r="L472" i="1"/>
  <c r="M472" i="1" s="1"/>
  <c r="L474" i="1"/>
  <c r="M474" i="1" s="1"/>
  <c r="L475" i="1"/>
  <c r="M475" i="1" s="1"/>
  <c r="L491" i="1"/>
  <c r="M491" i="1" s="1"/>
  <c r="L502" i="1"/>
  <c r="V515" i="1"/>
  <c r="V563" i="1"/>
  <c r="E471" i="1"/>
  <c r="Q471" i="1" s="1"/>
  <c r="L476" i="1"/>
  <c r="M476" i="1" s="1"/>
  <c r="I506" i="1"/>
  <c r="J506" i="1" s="1"/>
  <c r="E506" i="1"/>
  <c r="Q506" i="1" s="1"/>
  <c r="E511" i="1"/>
  <c r="Q511" i="1" s="1"/>
  <c r="E525" i="1"/>
  <c r="Q525" i="1" s="1"/>
  <c r="L555" i="1"/>
  <c r="L499" i="1"/>
  <c r="M499" i="1" s="1"/>
  <c r="V530" i="1"/>
  <c r="L468" i="1"/>
  <c r="M468" i="1" s="1"/>
  <c r="I471" i="1"/>
  <c r="J471" i="1" s="1"/>
  <c r="L471" i="1"/>
  <c r="M471" i="1" s="1"/>
  <c r="I475" i="1"/>
  <c r="J475" i="1" s="1"/>
  <c r="E475" i="1"/>
  <c r="Q475" i="1" s="1"/>
  <c r="I391" i="1"/>
  <c r="J391" i="1" s="1"/>
  <c r="L391" i="1"/>
  <c r="M391" i="1" s="1"/>
  <c r="L395" i="1"/>
  <c r="M395" i="1" s="1"/>
  <c r="V400" i="1"/>
  <c r="L427" i="1"/>
  <c r="M427" i="1" s="1"/>
  <c r="E428" i="1"/>
  <c r="Q428" i="1" s="1"/>
  <c r="I428" i="1"/>
  <c r="J428" i="1" s="1"/>
  <c r="W428" i="1" s="1"/>
  <c r="V440" i="1"/>
  <c r="W440" i="1" s="1"/>
  <c r="I450" i="1"/>
  <c r="J450" i="1" s="1"/>
  <c r="L450" i="1"/>
  <c r="M450" i="1" s="1"/>
  <c r="I454" i="1"/>
  <c r="J454" i="1" s="1"/>
  <c r="L454" i="1"/>
  <c r="M454" i="1" s="1"/>
  <c r="I463" i="1"/>
  <c r="J463" i="1" s="1"/>
  <c r="L463" i="1"/>
  <c r="M463" i="1" s="1"/>
  <c r="V468" i="1"/>
  <c r="L470" i="1"/>
  <c r="M470" i="1" s="1"/>
  <c r="V475" i="1"/>
  <c r="I485" i="1"/>
  <c r="J485" i="1" s="1"/>
  <c r="L485" i="1"/>
  <c r="M485" i="1" s="1"/>
  <c r="V520" i="1"/>
  <c r="V524" i="1"/>
  <c r="L550" i="1"/>
  <c r="L560" i="1"/>
  <c r="M560" i="1" s="1"/>
  <c r="V575" i="1"/>
  <c r="L508" i="1"/>
  <c r="M508" i="1" s="1"/>
  <c r="E522" i="1"/>
  <c r="Q522" i="1" s="1"/>
  <c r="L527" i="1"/>
  <c r="V548" i="1"/>
  <c r="V552" i="1"/>
  <c r="V556" i="1"/>
  <c r="L484" i="1"/>
  <c r="M484" i="1" s="1"/>
  <c r="L486" i="1"/>
  <c r="I487" i="1"/>
  <c r="J487" i="1" s="1"/>
  <c r="E487" i="1"/>
  <c r="Q487" i="1" s="1"/>
  <c r="E490" i="1"/>
  <c r="Q490" i="1" s="1"/>
  <c r="L512" i="1"/>
  <c r="M512" i="1" s="1"/>
  <c r="V521" i="1"/>
  <c r="I526" i="1"/>
  <c r="J526" i="1" s="1"/>
  <c r="E526" i="1"/>
  <c r="Q526" i="1" s="1"/>
  <c r="V537" i="1"/>
  <c r="I536" i="1"/>
  <c r="J536" i="1" s="1"/>
  <c r="E536" i="1"/>
  <c r="Q536" i="1" s="1"/>
  <c r="V541" i="1"/>
  <c r="L556" i="1"/>
  <c r="M556" i="1" s="1"/>
  <c r="I558" i="1"/>
  <c r="J558" i="1" s="1"/>
  <c r="L558" i="1"/>
  <c r="M558" i="1" s="1"/>
  <c r="L568" i="1"/>
  <c r="I467" i="1"/>
  <c r="J467" i="1" s="1"/>
  <c r="E467" i="1"/>
  <c r="Q467" i="1" s="1"/>
  <c r="E399" i="1"/>
  <c r="Q399" i="1" s="1"/>
  <c r="I399" i="1"/>
  <c r="J399" i="1" s="1"/>
  <c r="I413" i="1"/>
  <c r="J413" i="1" s="1"/>
  <c r="E413" i="1"/>
  <c r="Q413" i="1" s="1"/>
  <c r="I423" i="1"/>
  <c r="J423" i="1" s="1"/>
  <c r="W423" i="1" s="1"/>
  <c r="E423" i="1"/>
  <c r="Q423" i="1" s="1"/>
  <c r="I429" i="1"/>
  <c r="J429" i="1" s="1"/>
  <c r="L429" i="1"/>
  <c r="M429" i="1" s="1"/>
  <c r="I432" i="1"/>
  <c r="J432" i="1" s="1"/>
  <c r="E432" i="1"/>
  <c r="Q432" i="1" s="1"/>
  <c r="E435" i="1"/>
  <c r="Q435" i="1" s="1"/>
  <c r="I435" i="1"/>
  <c r="J435" i="1" s="1"/>
  <c r="I443" i="1"/>
  <c r="J443" i="1" s="1"/>
  <c r="E443" i="1"/>
  <c r="Q443" i="1" s="1"/>
  <c r="E447" i="1"/>
  <c r="Q447" i="1" s="1"/>
  <c r="V464" i="1"/>
  <c r="I464" i="1"/>
  <c r="J464" i="1" s="1"/>
  <c r="E464" i="1"/>
  <c r="Q464" i="1" s="1"/>
  <c r="V472" i="1"/>
  <c r="L483" i="1"/>
  <c r="M483" i="1" s="1"/>
  <c r="I490" i="1"/>
  <c r="J490" i="1" s="1"/>
  <c r="L490" i="1"/>
  <c r="M490" i="1" s="1"/>
  <c r="L495" i="1"/>
  <c r="L500" i="1"/>
  <c r="M500" i="1" s="1"/>
  <c r="I522" i="1"/>
  <c r="J522" i="1" s="1"/>
  <c r="W522" i="1" s="1"/>
  <c r="L522" i="1"/>
  <c r="M522" i="1" s="1"/>
  <c r="M543" i="1"/>
  <c r="V551" i="1"/>
  <c r="E483" i="1"/>
  <c r="Q483" i="1" s="1"/>
  <c r="I483" i="1"/>
  <c r="J483" i="1" s="1"/>
  <c r="V488" i="1"/>
  <c r="E494" i="1"/>
  <c r="Q494" i="1" s="1"/>
  <c r="L519" i="1"/>
  <c r="M519" i="1" s="1"/>
  <c r="I538" i="1"/>
  <c r="J538" i="1" s="1"/>
  <c r="E538" i="1"/>
  <c r="Q538" i="1" s="1"/>
  <c r="E558" i="1"/>
  <c r="Q558" i="1" s="1"/>
  <c r="E445" i="1"/>
  <c r="Q445" i="1" s="1"/>
  <c r="I445" i="1"/>
  <c r="J445" i="1" s="1"/>
  <c r="E410" i="1"/>
  <c r="Q410" i="1" s="1"/>
  <c r="I410" i="1"/>
  <c r="J410" i="1" s="1"/>
  <c r="M423" i="1"/>
  <c r="V435" i="1"/>
  <c r="M439" i="1"/>
  <c r="M438" i="1"/>
  <c r="I448" i="1"/>
  <c r="J448" i="1" s="1"/>
  <c r="L448" i="1"/>
  <c r="M448" i="1" s="1"/>
  <c r="V463" i="1"/>
  <c r="E466" i="1"/>
  <c r="Q466" i="1" s="1"/>
  <c r="I466" i="1"/>
  <c r="J466" i="1" s="1"/>
  <c r="I59" i="1"/>
  <c r="J59" i="1" s="1"/>
  <c r="E59" i="1"/>
  <c r="Q59" i="1" s="1"/>
  <c r="E384" i="1"/>
  <c r="Q384" i="1" s="1"/>
  <c r="I384" i="1"/>
  <c r="J384" i="1" s="1"/>
  <c r="W384" i="1" s="1"/>
  <c r="V392" i="1"/>
  <c r="M436" i="1"/>
  <c r="V436" i="1"/>
  <c r="V531" i="1"/>
  <c r="V525" i="1"/>
  <c r="V573" i="1"/>
  <c r="I387" i="1"/>
  <c r="J387" i="1" s="1"/>
  <c r="E387" i="1"/>
  <c r="Q387" i="1" s="1"/>
  <c r="M408" i="1"/>
  <c r="V416" i="1"/>
  <c r="M428" i="1"/>
  <c r="E436" i="1"/>
  <c r="Q436" i="1" s="1"/>
  <c r="I436" i="1"/>
  <c r="J436" i="1" s="1"/>
  <c r="I447" i="1"/>
  <c r="J447" i="1" s="1"/>
  <c r="L447" i="1"/>
  <c r="M447" i="1" s="1"/>
  <c r="V452" i="1"/>
  <c r="I462" i="1"/>
  <c r="J462" i="1" s="1"/>
  <c r="E462" i="1"/>
  <c r="Q462" i="1" s="1"/>
  <c r="L482" i="1"/>
  <c r="I494" i="1"/>
  <c r="J494" i="1" s="1"/>
  <c r="L494" i="1"/>
  <c r="M494" i="1" s="1"/>
  <c r="L504" i="1"/>
  <c r="M504" i="1" s="1"/>
  <c r="L526" i="1"/>
  <c r="M526" i="1" s="1"/>
  <c r="L562" i="1"/>
  <c r="M562" i="1" s="1"/>
  <c r="L574" i="1"/>
  <c r="M574" i="1" s="1"/>
  <c r="I469" i="1"/>
  <c r="J469" i="1" s="1"/>
  <c r="E469" i="1"/>
  <c r="Q469" i="1" s="1"/>
  <c r="L479" i="1"/>
  <c r="V484" i="1"/>
  <c r="E503" i="1"/>
  <c r="Q503" i="1" s="1"/>
  <c r="I531" i="1"/>
  <c r="J531" i="1" s="1"/>
  <c r="E531" i="1"/>
  <c r="Q531" i="1" s="1"/>
  <c r="E535" i="1"/>
  <c r="Q535" i="1" s="1"/>
  <c r="I551" i="1"/>
  <c r="J551" i="1" s="1"/>
  <c r="L551" i="1"/>
  <c r="M551" i="1" s="1"/>
  <c r="I474" i="1"/>
  <c r="J474" i="1" s="1"/>
  <c r="E474" i="1"/>
  <c r="Q474" i="1" s="1"/>
  <c r="I496" i="1"/>
  <c r="J496" i="1" s="1"/>
  <c r="E496" i="1"/>
  <c r="Q496" i="1" s="1"/>
  <c r="I502" i="1"/>
  <c r="J502" i="1" s="1"/>
  <c r="E502" i="1"/>
  <c r="Q502" i="1" s="1"/>
  <c r="L524" i="1"/>
  <c r="E529" i="1"/>
  <c r="Q529" i="1" s="1"/>
  <c r="E547" i="1"/>
  <c r="Q547" i="1" s="1"/>
  <c r="I472" i="1"/>
  <c r="J472" i="1" s="1"/>
  <c r="E472" i="1"/>
  <c r="Q472" i="1" s="1"/>
  <c r="M412" i="1"/>
  <c r="V412" i="1"/>
  <c r="I411" i="1"/>
  <c r="J411" i="1" s="1"/>
  <c r="E411" i="1"/>
  <c r="Q411" i="1" s="1"/>
  <c r="E420" i="1"/>
  <c r="Q420" i="1" s="1"/>
  <c r="I420" i="1"/>
  <c r="J420" i="1" s="1"/>
  <c r="E431" i="1"/>
  <c r="Q431" i="1" s="1"/>
  <c r="I431" i="1"/>
  <c r="J431" i="1" s="1"/>
  <c r="I433" i="1"/>
  <c r="J433" i="1" s="1"/>
  <c r="E433" i="1"/>
  <c r="Q433" i="1" s="1"/>
  <c r="M444" i="1"/>
  <c r="L452" i="1"/>
  <c r="M452" i="1" s="1"/>
  <c r="I459" i="1"/>
  <c r="J459" i="1" s="1"/>
  <c r="L459" i="1"/>
  <c r="M459" i="1" s="1"/>
  <c r="V527" i="1"/>
  <c r="V532" i="1"/>
  <c r="V555" i="1"/>
  <c r="V477" i="1"/>
  <c r="V496" i="1"/>
  <c r="L507" i="1"/>
  <c r="M507" i="1" s="1"/>
  <c r="L515" i="1"/>
  <c r="M515" i="1" s="1"/>
  <c r="I567" i="1"/>
  <c r="J567" i="1" s="1"/>
  <c r="L567" i="1"/>
  <c r="E470" i="1"/>
  <c r="Q470" i="1" s="1"/>
  <c r="I470" i="1"/>
  <c r="J470" i="1" s="1"/>
  <c r="W470" i="1" s="1"/>
  <c r="E480" i="1"/>
  <c r="Q480" i="1" s="1"/>
  <c r="V497" i="1"/>
  <c r="V513" i="1"/>
  <c r="I543" i="1"/>
  <c r="J543" i="1" s="1"/>
  <c r="E543" i="1"/>
  <c r="Q543" i="1" s="1"/>
  <c r="E395" i="1"/>
  <c r="Q395" i="1" s="1"/>
  <c r="I395" i="1"/>
  <c r="J395" i="1" s="1"/>
  <c r="I403" i="1"/>
  <c r="J403" i="1" s="1"/>
  <c r="L403" i="1"/>
  <c r="M403" i="1" s="1"/>
  <c r="E407" i="1"/>
  <c r="Q407" i="1" s="1"/>
  <c r="I407" i="1"/>
  <c r="J407" i="1" s="1"/>
  <c r="E412" i="1"/>
  <c r="Q412" i="1" s="1"/>
  <c r="I412" i="1"/>
  <c r="J412" i="1" s="1"/>
  <c r="E422" i="1"/>
  <c r="Q422" i="1" s="1"/>
  <c r="I422" i="1"/>
  <c r="J422" i="1" s="1"/>
  <c r="N422" i="1" s="1"/>
  <c r="E427" i="1"/>
  <c r="Q427" i="1" s="1"/>
  <c r="I427" i="1"/>
  <c r="J427" i="1" s="1"/>
  <c r="E430" i="1"/>
  <c r="Q430" i="1" s="1"/>
  <c r="I430" i="1"/>
  <c r="J430" i="1" s="1"/>
  <c r="N430" i="1" s="1"/>
  <c r="I434" i="1"/>
  <c r="J434" i="1" s="1"/>
  <c r="N434" i="1" s="1"/>
  <c r="E434" i="1"/>
  <c r="Q434" i="1" s="1"/>
  <c r="E444" i="1"/>
  <c r="Q444" i="1" s="1"/>
  <c r="I444" i="1"/>
  <c r="J444" i="1" s="1"/>
  <c r="E452" i="1"/>
  <c r="Q452" i="1" s="1"/>
  <c r="I452" i="1"/>
  <c r="J452" i="1" s="1"/>
  <c r="V456" i="1"/>
  <c r="W456" i="1" s="1"/>
  <c r="E455" i="1"/>
  <c r="Q455" i="1" s="1"/>
  <c r="I455" i="1"/>
  <c r="J455" i="1" s="1"/>
  <c r="I503" i="1"/>
  <c r="J503" i="1" s="1"/>
  <c r="L503" i="1"/>
  <c r="I510" i="1"/>
  <c r="J510" i="1" s="1"/>
  <c r="L510" i="1"/>
  <c r="M510" i="1" s="1"/>
  <c r="I530" i="1"/>
  <c r="J530" i="1" s="1"/>
  <c r="L530" i="1"/>
  <c r="M530" i="1" s="1"/>
  <c r="V561" i="1"/>
  <c r="I468" i="1"/>
  <c r="J468" i="1" s="1"/>
  <c r="E468" i="1"/>
  <c r="Q468" i="1" s="1"/>
  <c r="I479" i="1"/>
  <c r="J479" i="1" s="1"/>
  <c r="E479" i="1"/>
  <c r="Q479" i="1" s="1"/>
  <c r="I482" i="1"/>
  <c r="J482" i="1" s="1"/>
  <c r="E482" i="1"/>
  <c r="Q482" i="1" s="1"/>
  <c r="V492" i="1"/>
  <c r="E527" i="1"/>
  <c r="Q527" i="1" s="1"/>
  <c r="I527" i="1"/>
  <c r="J527" i="1" s="1"/>
  <c r="E546" i="1"/>
  <c r="Q546" i="1" s="1"/>
  <c r="I546" i="1"/>
  <c r="J546" i="1" s="1"/>
  <c r="V553" i="1"/>
  <c r="V565" i="1"/>
  <c r="V487" i="1"/>
  <c r="W487" i="1" s="1"/>
  <c r="V615" i="1"/>
  <c r="V639" i="1"/>
  <c r="V687" i="1"/>
  <c r="L576" i="1"/>
  <c r="M576" i="1" s="1"/>
  <c r="L741" i="1"/>
  <c r="V494" i="1"/>
  <c r="V554" i="1"/>
  <c r="V611" i="1"/>
  <c r="V719" i="1"/>
  <c r="V735" i="1"/>
  <c r="V584" i="1"/>
  <c r="V616" i="1"/>
  <c r="V628" i="1"/>
  <c r="V664" i="1"/>
  <c r="V672" i="1"/>
  <c r="V676" i="1"/>
  <c r="L718" i="1"/>
  <c r="V585" i="1"/>
  <c r="V482" i="1"/>
  <c r="V490" i="1"/>
  <c r="M568" i="1"/>
  <c r="V619" i="1"/>
  <c r="V683" i="1"/>
  <c r="V682" i="1"/>
  <c r="V706" i="1"/>
  <c r="V588" i="1"/>
  <c r="L663" i="1"/>
  <c r="V510" i="1"/>
  <c r="W510" i="1" s="1"/>
  <c r="V623" i="1"/>
  <c r="V667" i="1"/>
  <c r="V516" i="1"/>
  <c r="L548" i="1"/>
  <c r="M548" i="1" s="1"/>
  <c r="L488" i="1"/>
  <c r="M488" i="1" s="1"/>
  <c r="E512" i="1"/>
  <c r="Q512" i="1" s="1"/>
  <c r="I512" i="1"/>
  <c r="J512" i="1" s="1"/>
  <c r="M527" i="1"/>
  <c r="V533" i="1"/>
  <c r="I539" i="1"/>
  <c r="J539" i="1" s="1"/>
  <c r="L539" i="1"/>
  <c r="M539" i="1" s="1"/>
  <c r="I547" i="1"/>
  <c r="J547" i="1" s="1"/>
  <c r="L547" i="1"/>
  <c r="M547" i="1" s="1"/>
  <c r="V486" i="1"/>
  <c r="V679" i="1"/>
  <c r="L697" i="1"/>
  <c r="V723" i="1"/>
  <c r="V702" i="1"/>
  <c r="L577" i="1"/>
  <c r="M577" i="1" s="1"/>
  <c r="V620" i="1"/>
  <c r="V680" i="1"/>
  <c r="V705" i="1"/>
  <c r="E508" i="1"/>
  <c r="Q508" i="1" s="1"/>
  <c r="I508" i="1"/>
  <c r="J508" i="1" s="1"/>
  <c r="L513" i="1"/>
  <c r="M513" i="1" s="1"/>
  <c r="I529" i="1"/>
  <c r="J529" i="1" s="1"/>
  <c r="L529" i="1"/>
  <c r="M529" i="1" s="1"/>
  <c r="V577" i="1"/>
  <c r="L676" i="1"/>
  <c r="M676" i="1" s="1"/>
  <c r="V691" i="1"/>
  <c r="V695" i="1"/>
  <c r="V542" i="1"/>
  <c r="V558" i="1"/>
  <c r="W558" i="1" s="1"/>
  <c r="E573" i="1"/>
  <c r="Q573" i="1" s="1"/>
  <c r="E589" i="1"/>
  <c r="Q589" i="1" s="1"/>
  <c r="V640" i="1"/>
  <c r="V648" i="1"/>
  <c r="L728" i="1"/>
  <c r="M728" i="1" s="1"/>
  <c r="L583" i="1"/>
  <c r="E497" i="1"/>
  <c r="Q497" i="1" s="1"/>
  <c r="V502" i="1"/>
  <c r="E501" i="1"/>
  <c r="Q501" i="1" s="1"/>
  <c r="L509" i="1"/>
  <c r="M509" i="1" s="1"/>
  <c r="E516" i="1"/>
  <c r="Q516" i="1" s="1"/>
  <c r="L575" i="1"/>
  <c r="M575" i="1" s="1"/>
  <c r="L594" i="1"/>
  <c r="V607" i="1"/>
  <c r="V627" i="1"/>
  <c r="L651" i="1"/>
  <c r="V671" i="1"/>
  <c r="V675" i="1"/>
  <c r="V699" i="1"/>
  <c r="L710" i="1"/>
  <c r="V739" i="1"/>
  <c r="V734" i="1"/>
  <c r="V740" i="1"/>
  <c r="E734" i="1"/>
  <c r="Q734" i="1" s="1"/>
  <c r="E592" i="1"/>
  <c r="Q592" i="1" s="1"/>
  <c r="E669" i="1"/>
  <c r="Q669" i="1" s="1"/>
  <c r="L682" i="1"/>
  <c r="M682" i="1" s="1"/>
  <c r="V696" i="1"/>
  <c r="V712" i="1"/>
  <c r="L481" i="1"/>
  <c r="M481" i="1" s="1"/>
  <c r="M487" i="1"/>
  <c r="P487" i="1" s="1"/>
  <c r="E491" i="1"/>
  <c r="Q491" i="1" s="1"/>
  <c r="I491" i="1"/>
  <c r="J491" i="1" s="1"/>
  <c r="M495" i="1"/>
  <c r="I511" i="1"/>
  <c r="J511" i="1" s="1"/>
  <c r="L511" i="1"/>
  <c r="M511" i="1" s="1"/>
  <c r="E518" i="1"/>
  <c r="Q518" i="1" s="1"/>
  <c r="E523" i="1"/>
  <c r="Q523" i="1" s="1"/>
  <c r="V595" i="1"/>
  <c r="L598" i="1"/>
  <c r="L641" i="1"/>
  <c r="V669" i="1"/>
  <c r="L727" i="1"/>
  <c r="L698" i="1"/>
  <c r="V574" i="1"/>
  <c r="V592" i="1"/>
  <c r="V596" i="1"/>
  <c r="V604" i="1"/>
  <c r="V612" i="1"/>
  <c r="E507" i="1"/>
  <c r="Q507" i="1" s="1"/>
  <c r="I507" i="1"/>
  <c r="J507" i="1" s="1"/>
  <c r="E515" i="1"/>
  <c r="Q515" i="1" s="1"/>
  <c r="I515" i="1"/>
  <c r="J515" i="1" s="1"/>
  <c r="V572" i="1"/>
  <c r="E473" i="1"/>
  <c r="Q473" i="1" s="1"/>
  <c r="I473" i="1"/>
  <c r="J473" i="1" s="1"/>
  <c r="V489" i="1"/>
  <c r="V498" i="1"/>
  <c r="V501" i="1"/>
  <c r="I500" i="1"/>
  <c r="J500" i="1" s="1"/>
  <c r="E500" i="1"/>
  <c r="Q500" i="1" s="1"/>
  <c r="V505" i="1"/>
  <c r="I505" i="1"/>
  <c r="J505" i="1" s="1"/>
  <c r="E505" i="1"/>
  <c r="Q505" i="1" s="1"/>
  <c r="L532" i="1"/>
  <c r="M532" i="1" s="1"/>
  <c r="I535" i="1"/>
  <c r="J535" i="1" s="1"/>
  <c r="L535" i="1"/>
  <c r="M535" i="1" s="1"/>
  <c r="L541" i="1"/>
  <c r="M541" i="1" s="1"/>
  <c r="I544" i="1"/>
  <c r="J544" i="1" s="1"/>
  <c r="L544" i="1"/>
  <c r="M544" i="1" s="1"/>
  <c r="I480" i="1"/>
  <c r="J480" i="1" s="1"/>
  <c r="L480" i="1"/>
  <c r="M480" i="1" s="1"/>
  <c r="M486" i="1"/>
  <c r="L557" i="1"/>
  <c r="M557" i="1" s="1"/>
  <c r="V587" i="1"/>
  <c r="V645" i="1"/>
  <c r="V655" i="1"/>
  <c r="L701" i="1"/>
  <c r="V715" i="1"/>
  <c r="V733" i="1"/>
  <c r="V686" i="1"/>
  <c r="L678" i="1"/>
  <c r="M678" i="1" s="1"/>
  <c r="V688" i="1"/>
  <c r="V716" i="1"/>
  <c r="L489" i="1"/>
  <c r="M489" i="1" s="1"/>
  <c r="E528" i="1"/>
  <c r="Q528" i="1" s="1"/>
  <c r="M538" i="1"/>
  <c r="V538" i="1"/>
  <c r="V599" i="1"/>
  <c r="V631" i="1"/>
  <c r="V643" i="1"/>
  <c r="L647" i="1"/>
  <c r="M647" i="1" s="1"/>
  <c r="V663" i="1"/>
  <c r="L670" i="1"/>
  <c r="L674" i="1"/>
  <c r="L681" i="1"/>
  <c r="L689" i="1"/>
  <c r="M689" i="1" s="1"/>
  <c r="L737" i="1"/>
  <c r="V736" i="1"/>
  <c r="L702" i="1"/>
  <c r="L714" i="1"/>
  <c r="M714" i="1" s="1"/>
  <c r="E719" i="1"/>
  <c r="Q719" i="1" s="1"/>
  <c r="L590" i="1"/>
  <c r="M590" i="1" s="1"/>
  <c r="V632" i="1"/>
  <c r="V636" i="1"/>
  <c r="V654" i="1"/>
  <c r="E724" i="1"/>
  <c r="Q724" i="1" s="1"/>
  <c r="V732" i="1"/>
  <c r="V581" i="1"/>
  <c r="E477" i="1"/>
  <c r="Q477" i="1" s="1"/>
  <c r="E484" i="1"/>
  <c r="Q484" i="1" s="1"/>
  <c r="I484" i="1"/>
  <c r="J484" i="1" s="1"/>
  <c r="I488" i="1"/>
  <c r="J488" i="1" s="1"/>
  <c r="E488" i="1"/>
  <c r="Q488" i="1" s="1"/>
  <c r="I497" i="1"/>
  <c r="J497" i="1" s="1"/>
  <c r="L497" i="1"/>
  <c r="M497" i="1" s="1"/>
  <c r="I501" i="1"/>
  <c r="J501" i="1" s="1"/>
  <c r="L501" i="1"/>
  <c r="M501" i="1" s="1"/>
  <c r="M506" i="1"/>
  <c r="P506" i="1" s="1"/>
  <c r="V506" i="1"/>
  <c r="W506" i="1" s="1"/>
  <c r="I516" i="1"/>
  <c r="J516" i="1" s="1"/>
  <c r="L516" i="1"/>
  <c r="M516" i="1" s="1"/>
  <c r="I520" i="1"/>
  <c r="J520" i="1" s="1"/>
  <c r="E520" i="1"/>
  <c r="Q520" i="1" s="1"/>
  <c r="L614" i="1"/>
  <c r="L626" i="1"/>
  <c r="V660" i="1"/>
  <c r="I686" i="1"/>
  <c r="J686" i="1" s="1"/>
  <c r="L686" i="1"/>
  <c r="M686" i="1" s="1"/>
  <c r="V711" i="1"/>
  <c r="L692" i="1"/>
  <c r="M692" i="1" s="1"/>
  <c r="L545" i="1"/>
  <c r="M545" i="1" s="1"/>
  <c r="V608" i="1"/>
  <c r="E619" i="1"/>
  <c r="Q619" i="1" s="1"/>
  <c r="L625" i="1"/>
  <c r="L650" i="1"/>
  <c r="M650" i="1" s="1"/>
  <c r="V668" i="1"/>
  <c r="L691" i="1"/>
  <c r="M691" i="1" s="1"/>
  <c r="L721" i="1"/>
  <c r="M721" i="1" s="1"/>
  <c r="E698" i="1"/>
  <c r="Q698" i="1" s="1"/>
  <c r="I698" i="1"/>
  <c r="J698" i="1" s="1"/>
  <c r="V722" i="1"/>
  <c r="L726" i="1"/>
  <c r="L549" i="1"/>
  <c r="M549" i="1" s="1"/>
  <c r="E554" i="1"/>
  <c r="Q554" i="1" s="1"/>
  <c r="I554" i="1"/>
  <c r="J554" i="1" s="1"/>
  <c r="M479" i="1"/>
  <c r="I498" i="1"/>
  <c r="J498" i="1" s="1"/>
  <c r="L498" i="1"/>
  <c r="M498" i="1" s="1"/>
  <c r="I518" i="1"/>
  <c r="J518" i="1" s="1"/>
  <c r="L518" i="1"/>
  <c r="M518" i="1" s="1"/>
  <c r="E519" i="1"/>
  <c r="Q519" i="1" s="1"/>
  <c r="I519" i="1"/>
  <c r="J519" i="1" s="1"/>
  <c r="I528" i="1"/>
  <c r="J528" i="1" s="1"/>
  <c r="L528" i="1"/>
  <c r="M528" i="1" s="1"/>
  <c r="M534" i="1"/>
  <c r="V534" i="1"/>
  <c r="E537" i="1"/>
  <c r="Q537" i="1" s="1"/>
  <c r="E570" i="1"/>
  <c r="Q570" i="1" s="1"/>
  <c r="I570" i="1"/>
  <c r="J570" i="1" s="1"/>
  <c r="L602" i="1"/>
  <c r="M602" i="1" s="1"/>
  <c r="L624" i="1"/>
  <c r="V635" i="1"/>
  <c r="L638" i="1"/>
  <c r="M638" i="1" s="1"/>
  <c r="V646" i="1"/>
  <c r="L662" i="1"/>
  <c r="L677" i="1"/>
  <c r="M677" i="1" s="1"/>
  <c r="L694" i="1"/>
  <c r="M694" i="1" s="1"/>
  <c r="I724" i="1"/>
  <c r="J724" i="1" s="1"/>
  <c r="L724" i="1"/>
  <c r="E737" i="1"/>
  <c r="Q737" i="1" s="1"/>
  <c r="I737" i="1"/>
  <c r="J737" i="1" s="1"/>
  <c r="E686" i="1"/>
  <c r="Q686" i="1" s="1"/>
  <c r="L706" i="1"/>
  <c r="M706" i="1" s="1"/>
  <c r="E726" i="1"/>
  <c r="Q726" i="1" s="1"/>
  <c r="I726" i="1"/>
  <c r="J726" i="1" s="1"/>
  <c r="E532" i="1"/>
  <c r="Q532" i="1" s="1"/>
  <c r="I532" i="1"/>
  <c r="J532" i="1" s="1"/>
  <c r="V511" i="1"/>
  <c r="V526" i="1"/>
  <c r="L571" i="1"/>
  <c r="M571" i="1" s="1"/>
  <c r="E499" i="1"/>
  <c r="Q499" i="1" s="1"/>
  <c r="I499" i="1"/>
  <c r="J499" i="1" s="1"/>
  <c r="I504" i="1"/>
  <c r="J504" i="1" s="1"/>
  <c r="E504" i="1"/>
  <c r="Q504" i="1" s="1"/>
  <c r="M517" i="1"/>
  <c r="V517" i="1"/>
  <c r="I523" i="1"/>
  <c r="J523" i="1" s="1"/>
  <c r="L523" i="1"/>
  <c r="M524" i="1"/>
  <c r="L542" i="1"/>
  <c r="M542" i="1" s="1"/>
  <c r="I548" i="1"/>
  <c r="J548" i="1" s="1"/>
  <c r="E548" i="1"/>
  <c r="Q548" i="1" s="1"/>
  <c r="L553" i="1"/>
  <c r="M553" i="1" s="1"/>
  <c r="I556" i="1"/>
  <c r="J556" i="1" s="1"/>
  <c r="E556" i="1"/>
  <c r="Q556" i="1" s="1"/>
  <c r="L564" i="1"/>
  <c r="M564" i="1" s="1"/>
  <c r="V569" i="1"/>
  <c r="E568" i="1"/>
  <c r="Q568" i="1" s="1"/>
  <c r="I568" i="1"/>
  <c r="J568" i="1" s="1"/>
  <c r="V514" i="1"/>
  <c r="W514" i="1" s="1"/>
  <c r="M570" i="1"/>
  <c r="V570" i="1"/>
  <c r="L610" i="1"/>
  <c r="M610" i="1" s="1"/>
  <c r="V647" i="1"/>
  <c r="V659" i="1"/>
  <c r="V707" i="1"/>
  <c r="V708" i="1"/>
  <c r="I477" i="1"/>
  <c r="J477" i="1" s="1"/>
  <c r="L477" i="1"/>
  <c r="M477" i="1" s="1"/>
  <c r="I481" i="1"/>
  <c r="J481" i="1" s="1"/>
  <c r="E481" i="1"/>
  <c r="Q481" i="1" s="1"/>
  <c r="E493" i="1"/>
  <c r="Q493" i="1" s="1"/>
  <c r="I493" i="1"/>
  <c r="J493" i="1" s="1"/>
  <c r="E495" i="1"/>
  <c r="Q495" i="1" s="1"/>
  <c r="I495" i="1"/>
  <c r="J495" i="1" s="1"/>
  <c r="M503" i="1"/>
  <c r="I525" i="1"/>
  <c r="J525" i="1" s="1"/>
  <c r="L525" i="1"/>
  <c r="M525" i="1" s="1"/>
  <c r="V591" i="1"/>
  <c r="L606" i="1"/>
  <c r="M606" i="1" s="1"/>
  <c r="L618" i="1"/>
  <c r="M618" i="1" s="1"/>
  <c r="V651" i="1"/>
  <c r="E725" i="1"/>
  <c r="Q725" i="1" s="1"/>
  <c r="E534" i="1"/>
  <c r="Q534" i="1" s="1"/>
  <c r="I534" i="1"/>
  <c r="J534" i="1" s="1"/>
  <c r="N534" i="1" s="1"/>
  <c r="E562" i="1"/>
  <c r="Q562" i="1" s="1"/>
  <c r="I562" i="1"/>
  <c r="J562" i="1" s="1"/>
  <c r="E585" i="1"/>
  <c r="Q585" i="1" s="1"/>
  <c r="E635" i="1"/>
  <c r="Q635" i="1" s="1"/>
  <c r="E646" i="1"/>
  <c r="Q646" i="1" s="1"/>
  <c r="E655" i="1"/>
  <c r="Q655" i="1" s="1"/>
  <c r="E690" i="1"/>
  <c r="Q690" i="1" s="1"/>
  <c r="E715" i="1"/>
  <c r="Q715" i="1" s="1"/>
  <c r="V724" i="1"/>
  <c r="E727" i="1"/>
  <c r="Q727" i="1" s="1"/>
  <c r="I727" i="1"/>
  <c r="J727" i="1" s="1"/>
  <c r="E545" i="1"/>
  <c r="Q545" i="1" s="1"/>
  <c r="I545" i="1"/>
  <c r="J545" i="1" s="1"/>
  <c r="M567" i="1"/>
  <c r="E476" i="1"/>
  <c r="Q476" i="1" s="1"/>
  <c r="I476" i="1"/>
  <c r="J476" i="1" s="1"/>
  <c r="W482" i="1"/>
  <c r="M482" i="1"/>
  <c r="E489" i="1"/>
  <c r="Q489" i="1" s="1"/>
  <c r="I489" i="1"/>
  <c r="J489" i="1" s="1"/>
  <c r="M502" i="1"/>
  <c r="E509" i="1"/>
  <c r="Q509" i="1" s="1"/>
  <c r="I509" i="1"/>
  <c r="J509" i="1" s="1"/>
  <c r="M514" i="1"/>
  <c r="P514" i="1" s="1"/>
  <c r="I517" i="1"/>
  <c r="J517" i="1" s="1"/>
  <c r="E517" i="1"/>
  <c r="Q517" i="1" s="1"/>
  <c r="E521" i="1"/>
  <c r="Q521" i="1" s="1"/>
  <c r="I521" i="1"/>
  <c r="J521" i="1" s="1"/>
  <c r="M523" i="1"/>
  <c r="E560" i="1"/>
  <c r="Q560" i="1" s="1"/>
  <c r="I560" i="1"/>
  <c r="J560" i="1" s="1"/>
  <c r="V650" i="1"/>
  <c r="V703" i="1"/>
  <c r="L732" i="1"/>
  <c r="L713" i="1"/>
  <c r="M713" i="1" s="1"/>
  <c r="E739" i="1"/>
  <c r="Q739" i="1" s="1"/>
  <c r="E639" i="1"/>
  <c r="Q639" i="1" s="1"/>
  <c r="E678" i="1"/>
  <c r="Q678" i="1" s="1"/>
  <c r="I678" i="1"/>
  <c r="J678" i="1" s="1"/>
  <c r="L730" i="1"/>
  <c r="L685" i="1"/>
  <c r="I694" i="1"/>
  <c r="J694" i="1" s="1"/>
  <c r="E694" i="1"/>
  <c r="Q694" i="1" s="1"/>
  <c r="V726" i="1"/>
  <c r="I486" i="1"/>
  <c r="J486" i="1" s="1"/>
  <c r="E486" i="1"/>
  <c r="Q486" i="1" s="1"/>
  <c r="E492" i="1"/>
  <c r="Q492" i="1" s="1"/>
  <c r="I492" i="1"/>
  <c r="J492" i="1" s="1"/>
  <c r="I513" i="1"/>
  <c r="J513" i="1" s="1"/>
  <c r="E513" i="1"/>
  <c r="Q513" i="1" s="1"/>
  <c r="E524" i="1"/>
  <c r="Q524" i="1" s="1"/>
  <c r="I524" i="1"/>
  <c r="J524" i="1" s="1"/>
  <c r="E541" i="1"/>
  <c r="Q541" i="1" s="1"/>
  <c r="I541" i="1"/>
  <c r="J541" i="1" s="1"/>
  <c r="I564" i="1"/>
  <c r="J564" i="1" s="1"/>
  <c r="E564" i="1"/>
  <c r="Q564" i="1" s="1"/>
  <c r="E572" i="1"/>
  <c r="Q572" i="1" s="1"/>
  <c r="V583" i="1"/>
  <c r="L586" i="1"/>
  <c r="M586" i="1" s="1"/>
  <c r="V603" i="1"/>
  <c r="I722" i="1"/>
  <c r="J722" i="1" s="1"/>
  <c r="L722" i="1"/>
  <c r="M722" i="1" s="1"/>
  <c r="E736" i="1"/>
  <c r="Q736" i="1" s="1"/>
  <c r="I689" i="1"/>
  <c r="J689" i="1" s="1"/>
  <c r="E689" i="1"/>
  <c r="Q689" i="1" s="1"/>
  <c r="E703" i="1"/>
  <c r="Q703" i="1" s="1"/>
  <c r="I710" i="1"/>
  <c r="J710" i="1" s="1"/>
  <c r="E710" i="1"/>
  <c r="Q710" i="1" s="1"/>
  <c r="E722" i="1"/>
  <c r="Q722" i="1" s="1"/>
  <c r="E731" i="1"/>
  <c r="Q731" i="1" s="1"/>
  <c r="V564" i="1"/>
  <c r="V600" i="1"/>
  <c r="M540" i="1"/>
  <c r="I563" i="1"/>
  <c r="J563" i="1" s="1"/>
  <c r="E563" i="1"/>
  <c r="Q563" i="1" s="1"/>
  <c r="I574" i="1"/>
  <c r="J574" i="1" s="1"/>
  <c r="E574" i="1"/>
  <c r="Q574" i="1" s="1"/>
  <c r="E583" i="1"/>
  <c r="Q583" i="1" s="1"/>
  <c r="I583" i="1"/>
  <c r="J583" i="1" s="1"/>
  <c r="V624" i="1"/>
  <c r="V700" i="1"/>
  <c r="V704" i="1"/>
  <c r="V714" i="1"/>
  <c r="L579" i="1"/>
  <c r="L581" i="1"/>
  <c r="M581" i="1" s="1"/>
  <c r="V589" i="1"/>
  <c r="L599" i="1"/>
  <c r="M599" i="1" s="1"/>
  <c r="V613" i="1"/>
  <c r="L631" i="1"/>
  <c r="M631" i="1" s="1"/>
  <c r="V657" i="1"/>
  <c r="L659" i="1"/>
  <c r="M659" i="1" s="1"/>
  <c r="V681" i="1"/>
  <c r="L703" i="1"/>
  <c r="M703" i="1" s="1"/>
  <c r="I703" i="1"/>
  <c r="J703" i="1" s="1"/>
  <c r="V709" i="1"/>
  <c r="L738" i="1"/>
  <c r="M555" i="1"/>
  <c r="L621" i="1"/>
  <c r="M621" i="1" s="1"/>
  <c r="L643" i="1"/>
  <c r="M643" i="1" s="1"/>
  <c r="I655" i="1"/>
  <c r="J655" i="1" s="1"/>
  <c r="L655" i="1"/>
  <c r="M655" i="1" s="1"/>
  <c r="V665" i="1"/>
  <c r="V689" i="1"/>
  <c r="L709" i="1"/>
  <c r="M709" i="1" s="1"/>
  <c r="L719" i="1"/>
  <c r="M719" i="1" s="1"/>
  <c r="I719" i="1"/>
  <c r="J719" i="1" s="1"/>
  <c r="V725" i="1"/>
  <c r="V566" i="1"/>
  <c r="V590" i="1"/>
  <c r="V617" i="1"/>
  <c r="V633" i="1"/>
  <c r="V656" i="1"/>
  <c r="V658" i="1"/>
  <c r="L683" i="1"/>
  <c r="V693" i="1"/>
  <c r="L723" i="1"/>
  <c r="M723" i="1" s="1"/>
  <c r="V729" i="1"/>
  <c r="V662" i="1"/>
  <c r="L669" i="1"/>
  <c r="M669" i="1" s="1"/>
  <c r="I669" i="1"/>
  <c r="J669" i="1" s="1"/>
  <c r="V694" i="1"/>
  <c r="V610" i="1"/>
  <c r="V678" i="1"/>
  <c r="V634" i="1"/>
  <c r="E557" i="1"/>
  <c r="Q557" i="1" s="1"/>
  <c r="I557" i="1"/>
  <c r="J557" i="1" s="1"/>
  <c r="E578" i="1"/>
  <c r="Q578" i="1" s="1"/>
  <c r="E601" i="1"/>
  <c r="Q601" i="1" s="1"/>
  <c r="I723" i="1"/>
  <c r="J723" i="1" s="1"/>
  <c r="E723" i="1"/>
  <c r="Q723" i="1" s="1"/>
  <c r="I728" i="1"/>
  <c r="J728" i="1" s="1"/>
  <c r="E728" i="1"/>
  <c r="Q728" i="1" s="1"/>
  <c r="V690" i="1"/>
  <c r="I731" i="1"/>
  <c r="J731" i="1" s="1"/>
  <c r="L731" i="1"/>
  <c r="M731" i="1" s="1"/>
  <c r="E559" i="1"/>
  <c r="Q559" i="1" s="1"/>
  <c r="L580" i="1"/>
  <c r="M580" i="1" s="1"/>
  <c r="L582" i="1"/>
  <c r="M582" i="1" s="1"/>
  <c r="L611" i="1"/>
  <c r="M611" i="1" s="1"/>
  <c r="L617" i="1"/>
  <c r="M617" i="1" s="1"/>
  <c r="V653" i="1"/>
  <c r="L668" i="1"/>
  <c r="M668" i="1" s="1"/>
  <c r="V677" i="1"/>
  <c r="L690" i="1"/>
  <c r="I690" i="1"/>
  <c r="J690" i="1" s="1"/>
  <c r="L740" i="1"/>
  <c r="M740" i="1" s="1"/>
  <c r="V606" i="1"/>
  <c r="L720" i="1"/>
  <c r="M720" i="1" s="1"/>
  <c r="E685" i="1"/>
  <c r="Q685" i="1" s="1"/>
  <c r="I685" i="1"/>
  <c r="J685" i="1" s="1"/>
  <c r="L565" i="1"/>
  <c r="M565" i="1" s="1"/>
  <c r="V597" i="1"/>
  <c r="E605" i="1"/>
  <c r="Q605" i="1" s="1"/>
  <c r="V629" i="1"/>
  <c r="V661" i="1"/>
  <c r="V673" i="1"/>
  <c r="I676" i="1"/>
  <c r="J676" i="1" s="1"/>
  <c r="E676" i="1"/>
  <c r="Q676" i="1" s="1"/>
  <c r="L687" i="1"/>
  <c r="M687" i="1" s="1"/>
  <c r="L688" i="1"/>
  <c r="M688" i="1" s="1"/>
  <c r="L696" i="1"/>
  <c r="M696" i="1" s="1"/>
  <c r="L700" i="1"/>
  <c r="M700" i="1" s="1"/>
  <c r="L729" i="1"/>
  <c r="M729" i="1" s="1"/>
  <c r="E704" i="1"/>
  <c r="Q704" i="1" s="1"/>
  <c r="L733" i="1"/>
  <c r="M733" i="1" s="1"/>
  <c r="L584" i="1"/>
  <c r="M584" i="1" s="1"/>
  <c r="L613" i="1"/>
  <c r="M613" i="1" s="1"/>
  <c r="E626" i="1"/>
  <c r="Q626" i="1" s="1"/>
  <c r="I626" i="1"/>
  <c r="J626" i="1" s="1"/>
  <c r="E716" i="1"/>
  <c r="Q716" i="1" s="1"/>
  <c r="I586" i="1"/>
  <c r="J586" i="1" s="1"/>
  <c r="E586" i="1"/>
  <c r="Q586" i="1" s="1"/>
  <c r="E588" i="1"/>
  <c r="Q588" i="1" s="1"/>
  <c r="L604" i="1"/>
  <c r="M604" i="1" s="1"/>
  <c r="V609" i="1"/>
  <c r="E609" i="1"/>
  <c r="Q609" i="1" s="1"/>
  <c r="I611" i="1"/>
  <c r="J611" i="1" s="1"/>
  <c r="E611" i="1"/>
  <c r="Q611" i="1" s="1"/>
  <c r="L620" i="1"/>
  <c r="M620" i="1" s="1"/>
  <c r="V641" i="1"/>
  <c r="L672" i="1"/>
  <c r="M672" i="1" s="1"/>
  <c r="M681" i="1"/>
  <c r="I734" i="1"/>
  <c r="J734" i="1" s="1"/>
  <c r="L734" i="1"/>
  <c r="M734" i="1" s="1"/>
  <c r="L679" i="1"/>
  <c r="M679" i="1" s="1"/>
  <c r="L699" i="1"/>
  <c r="M699" i="1" s="1"/>
  <c r="P543" i="1"/>
  <c r="V550" i="1"/>
  <c r="I569" i="1"/>
  <c r="J569" i="1" s="1"/>
  <c r="L569" i="1"/>
  <c r="M569" i="1" s="1"/>
  <c r="I573" i="1"/>
  <c r="J573" i="1" s="1"/>
  <c r="L573" i="1"/>
  <c r="M573" i="1" s="1"/>
  <c r="V578" i="1"/>
  <c r="M583" i="1"/>
  <c r="L596" i="1"/>
  <c r="M596" i="1" s="1"/>
  <c r="V602" i="1"/>
  <c r="V618" i="1"/>
  <c r="L629" i="1"/>
  <c r="M629" i="1" s="1"/>
  <c r="L637" i="1"/>
  <c r="M637" i="1" s="1"/>
  <c r="L653" i="1"/>
  <c r="M653" i="1" s="1"/>
  <c r="V666" i="1"/>
  <c r="L707" i="1"/>
  <c r="M707" i="1" s="1"/>
  <c r="E623" i="1"/>
  <c r="Q623" i="1" s="1"/>
  <c r="L640" i="1"/>
  <c r="M640" i="1" s="1"/>
  <c r="L649" i="1"/>
  <c r="M649" i="1" s="1"/>
  <c r="E660" i="1"/>
  <c r="Q660" i="1" s="1"/>
  <c r="I709" i="1"/>
  <c r="J709" i="1" s="1"/>
  <c r="E709" i="1"/>
  <c r="Q709" i="1" s="1"/>
  <c r="I662" i="1"/>
  <c r="J662" i="1" s="1"/>
  <c r="E662" i="1"/>
  <c r="Q662" i="1" s="1"/>
  <c r="V718" i="1"/>
  <c r="I721" i="1"/>
  <c r="J721" i="1" s="1"/>
  <c r="E721" i="1"/>
  <c r="Q721" i="1" s="1"/>
  <c r="M566" i="1"/>
  <c r="I571" i="1"/>
  <c r="J571" i="1" s="1"/>
  <c r="E571" i="1"/>
  <c r="Q571" i="1" s="1"/>
  <c r="E591" i="1"/>
  <c r="Q591" i="1" s="1"/>
  <c r="I601" i="1"/>
  <c r="J601" i="1" s="1"/>
  <c r="L601" i="1"/>
  <c r="M601" i="1" s="1"/>
  <c r="E607" i="1"/>
  <c r="Q607" i="1" s="1"/>
  <c r="E613" i="1"/>
  <c r="Q613" i="1" s="1"/>
  <c r="I613" i="1"/>
  <c r="J613" i="1" s="1"/>
  <c r="L616" i="1"/>
  <c r="M616" i="1" s="1"/>
  <c r="I621" i="1"/>
  <c r="J621" i="1" s="1"/>
  <c r="E621" i="1"/>
  <c r="Q621" i="1" s="1"/>
  <c r="E634" i="1"/>
  <c r="Q634" i="1" s="1"/>
  <c r="L648" i="1"/>
  <c r="M648" i="1" s="1"/>
  <c r="E666" i="1"/>
  <c r="Q666" i="1" s="1"/>
  <c r="M732" i="1"/>
  <c r="V738" i="1"/>
  <c r="V622" i="1"/>
  <c r="E629" i="1"/>
  <c r="Q629" i="1" s="1"/>
  <c r="I629" i="1"/>
  <c r="J629" i="1" s="1"/>
  <c r="L636" i="1"/>
  <c r="E643" i="1"/>
  <c r="Q643" i="1" s="1"/>
  <c r="I643" i="1"/>
  <c r="J643" i="1" s="1"/>
  <c r="I579" i="1"/>
  <c r="J579" i="1" s="1"/>
  <c r="W579" i="1" s="1"/>
  <c r="E579" i="1"/>
  <c r="Q579" i="1" s="1"/>
  <c r="E597" i="1"/>
  <c r="Q597" i="1" s="1"/>
  <c r="L615" i="1"/>
  <c r="M615" i="1" s="1"/>
  <c r="M624" i="1"/>
  <c r="E622" i="1"/>
  <c r="Q622" i="1" s="1"/>
  <c r="I640" i="1"/>
  <c r="J640" i="1" s="1"/>
  <c r="E640" i="1"/>
  <c r="Q640" i="1" s="1"/>
  <c r="E654" i="1"/>
  <c r="Q654" i="1" s="1"/>
  <c r="V684" i="1"/>
  <c r="M683" i="1"/>
  <c r="I697" i="1"/>
  <c r="J697" i="1" s="1"/>
  <c r="E697" i="1"/>
  <c r="Q697" i="1" s="1"/>
  <c r="I702" i="1"/>
  <c r="J702" i="1" s="1"/>
  <c r="W702" i="1" s="1"/>
  <c r="E702" i="1"/>
  <c r="Q702" i="1" s="1"/>
  <c r="E707" i="1"/>
  <c r="Q707" i="1" s="1"/>
  <c r="I707" i="1"/>
  <c r="J707" i="1" s="1"/>
  <c r="E711" i="1"/>
  <c r="Q711" i="1" s="1"/>
  <c r="I714" i="1"/>
  <c r="J714" i="1" s="1"/>
  <c r="E714" i="1"/>
  <c r="Q714" i="1" s="1"/>
  <c r="V720" i="1"/>
  <c r="L705" i="1"/>
  <c r="I725" i="1"/>
  <c r="J725" i="1" s="1"/>
  <c r="L725" i="1"/>
  <c r="M725" i="1" s="1"/>
  <c r="I540" i="1"/>
  <c r="J540" i="1" s="1"/>
  <c r="E540" i="1"/>
  <c r="Q540" i="1" s="1"/>
  <c r="M546" i="1"/>
  <c r="P546" i="1" s="1"/>
  <c r="R546" i="1" s="1"/>
  <c r="V546" i="1"/>
  <c r="I550" i="1"/>
  <c r="J550" i="1" s="1"/>
  <c r="E550" i="1"/>
  <c r="Q550" i="1" s="1"/>
  <c r="E575" i="1"/>
  <c r="Q575" i="1" s="1"/>
  <c r="I575" i="1"/>
  <c r="J575" i="1" s="1"/>
  <c r="L607" i="1"/>
  <c r="I607" i="1"/>
  <c r="J607" i="1" s="1"/>
  <c r="I623" i="1"/>
  <c r="J623" i="1" s="1"/>
  <c r="W623" i="1" s="1"/>
  <c r="L623" i="1"/>
  <c r="L628" i="1"/>
  <c r="M628" i="1" s="1"/>
  <c r="V649" i="1"/>
  <c r="L652" i="1"/>
  <c r="M652" i="1" s="1"/>
  <c r="L658" i="1"/>
  <c r="L671" i="1"/>
  <c r="M671" i="1" s="1"/>
  <c r="I716" i="1"/>
  <c r="J716" i="1" s="1"/>
  <c r="L716" i="1"/>
  <c r="M716" i="1" s="1"/>
  <c r="V741" i="1"/>
  <c r="L735" i="1"/>
  <c r="M735" i="1" s="1"/>
  <c r="L587" i="1"/>
  <c r="M587" i="1" s="1"/>
  <c r="L593" i="1"/>
  <c r="M593" i="1" s="1"/>
  <c r="L632" i="1"/>
  <c r="M632" i="1" s="1"/>
  <c r="L595" i="1"/>
  <c r="M595" i="1" s="1"/>
  <c r="L603" i="1"/>
  <c r="M603" i="1" s="1"/>
  <c r="L608" i="1"/>
  <c r="M608" i="1" s="1"/>
  <c r="V625" i="1"/>
  <c r="L646" i="1"/>
  <c r="M646" i="1" s="1"/>
  <c r="I646" i="1"/>
  <c r="J646" i="1" s="1"/>
  <c r="L654" i="1"/>
  <c r="M654" i="1" s="1"/>
  <c r="I654" i="1"/>
  <c r="J654" i="1" s="1"/>
  <c r="L656" i="1"/>
  <c r="M656" i="1" s="1"/>
  <c r="E695" i="1"/>
  <c r="Q695" i="1" s="1"/>
  <c r="V701" i="1"/>
  <c r="L712" i="1"/>
  <c r="M712" i="1" s="1"/>
  <c r="E717" i="1"/>
  <c r="Q717" i="1" s="1"/>
  <c r="V727" i="1"/>
  <c r="I739" i="1"/>
  <c r="J739" i="1" s="1"/>
  <c r="L739" i="1"/>
  <c r="M739" i="1" s="1"/>
  <c r="I741" i="1"/>
  <c r="J741" i="1" s="1"/>
  <c r="E741" i="1"/>
  <c r="Q741" i="1" s="1"/>
  <c r="I672" i="1"/>
  <c r="J672" i="1" s="1"/>
  <c r="W672" i="1" s="1"/>
  <c r="E672" i="1"/>
  <c r="Q672" i="1" s="1"/>
  <c r="M724" i="1"/>
  <c r="I537" i="1"/>
  <c r="J537" i="1" s="1"/>
  <c r="L537" i="1"/>
  <c r="M537" i="1" s="1"/>
  <c r="E542" i="1"/>
  <c r="Q542" i="1" s="1"/>
  <c r="I542" i="1"/>
  <c r="J542" i="1" s="1"/>
  <c r="E561" i="1"/>
  <c r="Q561" i="1" s="1"/>
  <c r="I561" i="1"/>
  <c r="J561" i="1" s="1"/>
  <c r="I566" i="1"/>
  <c r="J566" i="1" s="1"/>
  <c r="E566" i="1"/>
  <c r="Q566" i="1" s="1"/>
  <c r="V580" i="1"/>
  <c r="M579" i="1"/>
  <c r="V598" i="1"/>
  <c r="L630" i="1"/>
  <c r="M630" i="1" s="1"/>
  <c r="E633" i="1"/>
  <c r="Q633" i="1" s="1"/>
  <c r="V642" i="1"/>
  <c r="I648" i="1"/>
  <c r="J648" i="1" s="1"/>
  <c r="E648" i="1"/>
  <c r="Q648" i="1" s="1"/>
  <c r="I588" i="1"/>
  <c r="J588" i="1" s="1"/>
  <c r="L588" i="1"/>
  <c r="M588" i="1" s="1"/>
  <c r="I592" i="1"/>
  <c r="J592" i="1" s="1"/>
  <c r="W592" i="1" s="1"/>
  <c r="L592" i="1"/>
  <c r="M592" i="1" s="1"/>
  <c r="V605" i="1"/>
  <c r="I616" i="1"/>
  <c r="J616" i="1" s="1"/>
  <c r="E616" i="1"/>
  <c r="Q616" i="1" s="1"/>
  <c r="I618" i="1"/>
  <c r="J618" i="1" s="1"/>
  <c r="E618" i="1"/>
  <c r="Q618" i="1" s="1"/>
  <c r="L622" i="1"/>
  <c r="M622" i="1" s="1"/>
  <c r="I622" i="1"/>
  <c r="J622" i="1" s="1"/>
  <c r="L639" i="1"/>
  <c r="M639" i="1" s="1"/>
  <c r="I639" i="1"/>
  <c r="J639" i="1" s="1"/>
  <c r="W639" i="1" s="1"/>
  <c r="L645" i="1"/>
  <c r="M645" i="1" s="1"/>
  <c r="M658" i="1"/>
  <c r="I674" i="1"/>
  <c r="J674" i="1" s="1"/>
  <c r="E674" i="1"/>
  <c r="Q674" i="1" s="1"/>
  <c r="M662" i="1"/>
  <c r="E664" i="1"/>
  <c r="Q664" i="1" s="1"/>
  <c r="E693" i="1"/>
  <c r="Q693" i="1" s="1"/>
  <c r="I717" i="1"/>
  <c r="J717" i="1" s="1"/>
  <c r="L717" i="1"/>
  <c r="M717" i="1" s="1"/>
  <c r="E740" i="1"/>
  <c r="Q740" i="1" s="1"/>
  <c r="I740" i="1"/>
  <c r="J740" i="1" s="1"/>
  <c r="I585" i="1"/>
  <c r="J585" i="1" s="1"/>
  <c r="L585" i="1"/>
  <c r="M585" i="1" s="1"/>
  <c r="I605" i="1"/>
  <c r="J605" i="1" s="1"/>
  <c r="L605" i="1"/>
  <c r="M605" i="1" s="1"/>
  <c r="I619" i="1"/>
  <c r="J619" i="1" s="1"/>
  <c r="L619" i="1"/>
  <c r="M619" i="1" s="1"/>
  <c r="M626" i="1"/>
  <c r="V626" i="1"/>
  <c r="I634" i="1"/>
  <c r="J634" i="1" s="1"/>
  <c r="L634" i="1"/>
  <c r="M634" i="1" s="1"/>
  <c r="E644" i="1"/>
  <c r="Q644" i="1" s="1"/>
  <c r="L665" i="1"/>
  <c r="M665" i="1" s="1"/>
  <c r="I668" i="1"/>
  <c r="J668" i="1" s="1"/>
  <c r="E668" i="1"/>
  <c r="Q668" i="1" s="1"/>
  <c r="M38" i="1"/>
  <c r="P38" i="1" s="1"/>
  <c r="V38" i="1"/>
  <c r="W38" i="1" s="1"/>
  <c r="I705" i="1"/>
  <c r="J705" i="1" s="1"/>
  <c r="E705" i="1"/>
  <c r="Q705" i="1" s="1"/>
  <c r="M730" i="1"/>
  <c r="V730" i="1"/>
  <c r="I591" i="1"/>
  <c r="J591" i="1" s="1"/>
  <c r="L591" i="1"/>
  <c r="M591" i="1" s="1"/>
  <c r="E604" i="1"/>
  <c r="Q604" i="1" s="1"/>
  <c r="I604" i="1"/>
  <c r="J604" i="1" s="1"/>
  <c r="W604" i="1" s="1"/>
  <c r="E614" i="1"/>
  <c r="Q614" i="1" s="1"/>
  <c r="I614" i="1"/>
  <c r="J614" i="1" s="1"/>
  <c r="L627" i="1"/>
  <c r="M627" i="1" s="1"/>
  <c r="I644" i="1"/>
  <c r="J644" i="1" s="1"/>
  <c r="L644" i="1"/>
  <c r="M644" i="1" s="1"/>
  <c r="E649" i="1"/>
  <c r="Q649" i="1" s="1"/>
  <c r="I649" i="1"/>
  <c r="J649" i="1" s="1"/>
  <c r="L667" i="1"/>
  <c r="M667" i="1" s="1"/>
  <c r="I670" i="1"/>
  <c r="J670" i="1" s="1"/>
  <c r="E670" i="1"/>
  <c r="Q670" i="1" s="1"/>
  <c r="E675" i="1"/>
  <c r="Q675" i="1" s="1"/>
  <c r="I688" i="1"/>
  <c r="J688" i="1" s="1"/>
  <c r="N688" i="1" s="1"/>
  <c r="E688" i="1"/>
  <c r="Q688" i="1" s="1"/>
  <c r="M697" i="1"/>
  <c r="V697" i="1"/>
  <c r="W697" i="1" s="1"/>
  <c r="I729" i="1"/>
  <c r="J729" i="1" s="1"/>
  <c r="E729" i="1"/>
  <c r="Q729" i="1" s="1"/>
  <c r="E733" i="1"/>
  <c r="Q733" i="1" s="1"/>
  <c r="I733" i="1"/>
  <c r="J733" i="1" s="1"/>
  <c r="I666" i="1"/>
  <c r="J666" i="1" s="1"/>
  <c r="L666" i="1"/>
  <c r="M666" i="1" s="1"/>
  <c r="I578" i="1"/>
  <c r="J578" i="1" s="1"/>
  <c r="L578" i="1"/>
  <c r="M578" i="1" s="1"/>
  <c r="V582" i="1"/>
  <c r="I581" i="1"/>
  <c r="J581" i="1" s="1"/>
  <c r="E581" i="1"/>
  <c r="Q581" i="1" s="1"/>
  <c r="I597" i="1"/>
  <c r="J597" i="1" s="1"/>
  <c r="L597" i="1"/>
  <c r="M597" i="1" s="1"/>
  <c r="E599" i="1"/>
  <c r="Q599" i="1" s="1"/>
  <c r="I599" i="1"/>
  <c r="J599" i="1" s="1"/>
  <c r="V630" i="1"/>
  <c r="E637" i="1"/>
  <c r="Q637" i="1" s="1"/>
  <c r="I637" i="1"/>
  <c r="J637" i="1" s="1"/>
  <c r="E647" i="1"/>
  <c r="Q647" i="1" s="1"/>
  <c r="I647" i="1"/>
  <c r="J647" i="1" s="1"/>
  <c r="E677" i="1"/>
  <c r="Q677" i="1" s="1"/>
  <c r="I677" i="1"/>
  <c r="J677" i="1" s="1"/>
  <c r="I582" i="1"/>
  <c r="J582" i="1" s="1"/>
  <c r="E582" i="1"/>
  <c r="Q582" i="1" s="1"/>
  <c r="E603" i="1"/>
  <c r="Q603" i="1" s="1"/>
  <c r="I603" i="1"/>
  <c r="J603" i="1" s="1"/>
  <c r="E610" i="1"/>
  <c r="Q610" i="1" s="1"/>
  <c r="I610" i="1"/>
  <c r="J610" i="1" s="1"/>
  <c r="E628" i="1"/>
  <c r="Q628" i="1" s="1"/>
  <c r="I628" i="1"/>
  <c r="J628" i="1" s="1"/>
  <c r="I635" i="1"/>
  <c r="J635" i="1" s="1"/>
  <c r="L635" i="1"/>
  <c r="M635" i="1" s="1"/>
  <c r="I653" i="1"/>
  <c r="J653" i="1" s="1"/>
  <c r="E653" i="1"/>
  <c r="Q653" i="1" s="1"/>
  <c r="I679" i="1"/>
  <c r="J679" i="1" s="1"/>
  <c r="E679" i="1"/>
  <c r="Q679" i="1" s="1"/>
  <c r="V692" i="1"/>
  <c r="I693" i="1"/>
  <c r="J693" i="1" s="1"/>
  <c r="L693" i="1"/>
  <c r="M693" i="1" s="1"/>
  <c r="I699" i="1"/>
  <c r="J699" i="1" s="1"/>
  <c r="E699" i="1"/>
  <c r="Q699" i="1" s="1"/>
  <c r="I704" i="1"/>
  <c r="J704" i="1" s="1"/>
  <c r="W704" i="1" s="1"/>
  <c r="L704" i="1"/>
  <c r="M704" i="1" s="1"/>
  <c r="L708" i="1"/>
  <c r="M708" i="1" s="1"/>
  <c r="V728" i="1"/>
  <c r="I682" i="1"/>
  <c r="J682" i="1" s="1"/>
  <c r="E682" i="1"/>
  <c r="Q682" i="1" s="1"/>
  <c r="M690" i="1"/>
  <c r="I701" i="1"/>
  <c r="J701" i="1" s="1"/>
  <c r="E701" i="1"/>
  <c r="Q701" i="1" s="1"/>
  <c r="I706" i="1"/>
  <c r="J706" i="1" s="1"/>
  <c r="W706" i="1" s="1"/>
  <c r="E706" i="1"/>
  <c r="Q706" i="1" s="1"/>
  <c r="I715" i="1"/>
  <c r="J715" i="1" s="1"/>
  <c r="L715" i="1"/>
  <c r="M715" i="1" s="1"/>
  <c r="V593" i="1"/>
  <c r="V601" i="1"/>
  <c r="V621" i="1"/>
  <c r="V637" i="1"/>
  <c r="L642" i="1"/>
  <c r="M642" i="1" s="1"/>
  <c r="L657" i="1"/>
  <c r="M657" i="1" s="1"/>
  <c r="I695" i="1"/>
  <c r="J695" i="1" s="1"/>
  <c r="L695" i="1"/>
  <c r="M695" i="1" s="1"/>
  <c r="M705" i="1"/>
  <c r="V721" i="1"/>
  <c r="V731" i="1"/>
  <c r="I589" i="1"/>
  <c r="J589" i="1" s="1"/>
  <c r="L589" i="1"/>
  <c r="M589" i="1" s="1"/>
  <c r="V670" i="1"/>
  <c r="L673" i="1"/>
  <c r="M673" i="1" s="1"/>
  <c r="L600" i="1"/>
  <c r="M600" i="1" s="1"/>
  <c r="L612" i="1"/>
  <c r="M612" i="1" s="1"/>
  <c r="E624" i="1"/>
  <c r="Q624" i="1" s="1"/>
  <c r="I624" i="1"/>
  <c r="J624" i="1" s="1"/>
  <c r="W624" i="1" s="1"/>
  <c r="M636" i="1"/>
  <c r="V644" i="1"/>
  <c r="M651" i="1"/>
  <c r="E671" i="1"/>
  <c r="Q671" i="1" s="1"/>
  <c r="I671" i="1"/>
  <c r="J671" i="1" s="1"/>
  <c r="I675" i="1"/>
  <c r="J675" i="1" s="1"/>
  <c r="L675" i="1"/>
  <c r="M675" i="1" s="1"/>
  <c r="L684" i="1"/>
  <c r="M684" i="1" s="1"/>
  <c r="E692" i="1"/>
  <c r="Q692" i="1" s="1"/>
  <c r="I692" i="1"/>
  <c r="J692" i="1" s="1"/>
  <c r="M702" i="1"/>
  <c r="V713" i="1"/>
  <c r="M737" i="1"/>
  <c r="P737" i="1" s="1"/>
  <c r="V737" i="1"/>
  <c r="I549" i="1"/>
  <c r="J549" i="1" s="1"/>
  <c r="N549" i="1" s="1"/>
  <c r="E549" i="1"/>
  <c r="Q549" i="1" s="1"/>
  <c r="P569" i="1"/>
  <c r="R569" i="1" s="1"/>
  <c r="M594" i="1"/>
  <c r="V594" i="1"/>
  <c r="I594" i="1"/>
  <c r="J594" i="1" s="1"/>
  <c r="E594" i="1"/>
  <c r="Q594" i="1" s="1"/>
  <c r="I598" i="1"/>
  <c r="J598" i="1" s="1"/>
  <c r="E598" i="1"/>
  <c r="Q598" i="1" s="1"/>
  <c r="M623" i="1"/>
  <c r="I627" i="1"/>
  <c r="J627" i="1" s="1"/>
  <c r="E627" i="1"/>
  <c r="Q627" i="1" s="1"/>
  <c r="I631" i="1"/>
  <c r="J631" i="1" s="1"/>
  <c r="E631" i="1"/>
  <c r="Q631" i="1" s="1"/>
  <c r="V638" i="1"/>
  <c r="I638" i="1"/>
  <c r="J638" i="1" s="1"/>
  <c r="E638" i="1"/>
  <c r="Q638" i="1" s="1"/>
  <c r="I664" i="1"/>
  <c r="J664" i="1" s="1"/>
  <c r="L664" i="1"/>
  <c r="M664" i="1" s="1"/>
  <c r="I584" i="1"/>
  <c r="J584" i="1" s="1"/>
  <c r="E584" i="1"/>
  <c r="Q584" i="1" s="1"/>
  <c r="E596" i="1"/>
  <c r="Q596" i="1" s="1"/>
  <c r="I596" i="1"/>
  <c r="J596" i="1" s="1"/>
  <c r="W596" i="1" s="1"/>
  <c r="M641" i="1"/>
  <c r="E650" i="1"/>
  <c r="Q650" i="1" s="1"/>
  <c r="I650" i="1"/>
  <c r="J650" i="1" s="1"/>
  <c r="E657" i="1"/>
  <c r="Q657" i="1" s="1"/>
  <c r="I657" i="1"/>
  <c r="J657" i="1" s="1"/>
  <c r="I660" i="1"/>
  <c r="J660" i="1" s="1"/>
  <c r="L660" i="1"/>
  <c r="M660" i="1" s="1"/>
  <c r="I681" i="1"/>
  <c r="J681" i="1" s="1"/>
  <c r="E681" i="1"/>
  <c r="Q681" i="1" s="1"/>
  <c r="M685" i="1"/>
  <c r="V685" i="1"/>
  <c r="I683" i="1"/>
  <c r="J683" i="1" s="1"/>
  <c r="W683" i="1" s="1"/>
  <c r="E683" i="1"/>
  <c r="Q683" i="1" s="1"/>
  <c r="E720" i="1"/>
  <c r="Q720" i="1" s="1"/>
  <c r="I720" i="1"/>
  <c r="J720" i="1" s="1"/>
  <c r="I736" i="1"/>
  <c r="J736" i="1" s="1"/>
  <c r="L736" i="1"/>
  <c r="M736" i="1" s="1"/>
  <c r="I738" i="1"/>
  <c r="J738" i="1" s="1"/>
  <c r="E738" i="1"/>
  <c r="Q738" i="1" s="1"/>
  <c r="I684" i="1"/>
  <c r="J684" i="1" s="1"/>
  <c r="E684" i="1"/>
  <c r="Q684" i="1" s="1"/>
  <c r="M701" i="1"/>
  <c r="P701" i="1" s="1"/>
  <c r="M710" i="1"/>
  <c r="V710" i="1"/>
  <c r="M550" i="1"/>
  <c r="E555" i="1"/>
  <c r="Q555" i="1" s="1"/>
  <c r="I555" i="1"/>
  <c r="J555" i="1" s="1"/>
  <c r="V586" i="1"/>
  <c r="I587" i="1"/>
  <c r="J587" i="1" s="1"/>
  <c r="E587" i="1"/>
  <c r="Q587" i="1" s="1"/>
  <c r="I590" i="1"/>
  <c r="J590" i="1" s="1"/>
  <c r="E590" i="1"/>
  <c r="Q590" i="1" s="1"/>
  <c r="E593" i="1"/>
  <c r="Q593" i="1" s="1"/>
  <c r="I593" i="1"/>
  <c r="J593" i="1" s="1"/>
  <c r="I600" i="1"/>
  <c r="J600" i="1" s="1"/>
  <c r="E600" i="1"/>
  <c r="Q600" i="1" s="1"/>
  <c r="I609" i="1"/>
  <c r="J609" i="1" s="1"/>
  <c r="L609" i="1"/>
  <c r="M609" i="1" s="1"/>
  <c r="M614" i="1"/>
  <c r="V614" i="1"/>
  <c r="E630" i="1"/>
  <c r="Q630" i="1" s="1"/>
  <c r="I630" i="1"/>
  <c r="J630" i="1" s="1"/>
  <c r="I632" i="1"/>
  <c r="J632" i="1" s="1"/>
  <c r="E632" i="1"/>
  <c r="Q632" i="1" s="1"/>
  <c r="I651" i="1"/>
  <c r="J651" i="1" s="1"/>
  <c r="E651" i="1"/>
  <c r="Q651" i="1" s="1"/>
  <c r="V674" i="1"/>
  <c r="M674" i="1"/>
  <c r="E713" i="1"/>
  <c r="Q713" i="1" s="1"/>
  <c r="I713" i="1"/>
  <c r="J713" i="1" s="1"/>
  <c r="I572" i="1"/>
  <c r="J572" i="1" s="1"/>
  <c r="L572" i="1"/>
  <c r="M572" i="1" s="1"/>
  <c r="I595" i="1"/>
  <c r="J595" i="1" s="1"/>
  <c r="E595" i="1"/>
  <c r="Q595" i="1" s="1"/>
  <c r="E608" i="1"/>
  <c r="Q608" i="1" s="1"/>
  <c r="I608" i="1"/>
  <c r="J608" i="1" s="1"/>
  <c r="I615" i="1"/>
  <c r="J615" i="1" s="1"/>
  <c r="E615" i="1"/>
  <c r="Q615" i="1" s="1"/>
  <c r="E620" i="1"/>
  <c r="Q620" i="1" s="1"/>
  <c r="I620" i="1"/>
  <c r="J620" i="1" s="1"/>
  <c r="M625" i="1"/>
  <c r="I641" i="1"/>
  <c r="J641" i="1" s="1"/>
  <c r="E641" i="1"/>
  <c r="Q641" i="1" s="1"/>
  <c r="I663" i="1"/>
  <c r="J663" i="1" s="1"/>
  <c r="E663" i="1"/>
  <c r="Q663" i="1" s="1"/>
  <c r="E680" i="1"/>
  <c r="Q680" i="1" s="1"/>
  <c r="I687" i="1"/>
  <c r="J687" i="1" s="1"/>
  <c r="E687" i="1"/>
  <c r="Q687" i="1" s="1"/>
  <c r="E700" i="1"/>
  <c r="Q700" i="1" s="1"/>
  <c r="I700" i="1"/>
  <c r="J700" i="1" s="1"/>
  <c r="I708" i="1"/>
  <c r="J708" i="1" s="1"/>
  <c r="E708" i="1"/>
  <c r="Q708" i="1" s="1"/>
  <c r="E712" i="1"/>
  <c r="Q712" i="1" s="1"/>
  <c r="I712" i="1"/>
  <c r="J712" i="1" s="1"/>
  <c r="N712" i="1" s="1"/>
  <c r="V717" i="1"/>
  <c r="M726" i="1"/>
  <c r="P726" i="1" s="1"/>
  <c r="R726" i="1" s="1"/>
  <c r="E732" i="1"/>
  <c r="Q732" i="1" s="1"/>
  <c r="I732" i="1"/>
  <c r="J732" i="1" s="1"/>
  <c r="E659" i="1"/>
  <c r="Q659" i="1" s="1"/>
  <c r="I659" i="1"/>
  <c r="J659" i="1" s="1"/>
  <c r="L661" i="1"/>
  <c r="M661" i="1" s="1"/>
  <c r="E665" i="1"/>
  <c r="Q665" i="1" s="1"/>
  <c r="I665" i="1"/>
  <c r="J665" i="1" s="1"/>
  <c r="E667" i="1"/>
  <c r="Q667" i="1" s="1"/>
  <c r="I667" i="1"/>
  <c r="J667" i="1" s="1"/>
  <c r="E673" i="1"/>
  <c r="Q673" i="1" s="1"/>
  <c r="I673" i="1"/>
  <c r="J673" i="1" s="1"/>
  <c r="I680" i="1"/>
  <c r="J680" i="1" s="1"/>
  <c r="L680" i="1"/>
  <c r="M680" i="1" s="1"/>
  <c r="E691" i="1"/>
  <c r="Q691" i="1" s="1"/>
  <c r="I691" i="1"/>
  <c r="J691" i="1" s="1"/>
  <c r="M718" i="1"/>
  <c r="I718" i="1"/>
  <c r="J718" i="1" s="1"/>
  <c r="E718" i="1"/>
  <c r="Q718" i="1" s="1"/>
  <c r="I533" i="1"/>
  <c r="J533" i="1" s="1"/>
  <c r="E533" i="1"/>
  <c r="Q533" i="1" s="1"/>
  <c r="I553" i="1"/>
  <c r="J553" i="1" s="1"/>
  <c r="E553" i="1"/>
  <c r="Q553" i="1" s="1"/>
  <c r="I559" i="1"/>
  <c r="J559" i="1" s="1"/>
  <c r="L559" i="1"/>
  <c r="M559" i="1" s="1"/>
  <c r="I565" i="1"/>
  <c r="J565" i="1" s="1"/>
  <c r="E565" i="1"/>
  <c r="Q565" i="1" s="1"/>
  <c r="E576" i="1"/>
  <c r="Q576" i="1" s="1"/>
  <c r="I576" i="1"/>
  <c r="J576" i="1" s="1"/>
  <c r="E577" i="1"/>
  <c r="Q577" i="1" s="1"/>
  <c r="I577" i="1"/>
  <c r="J577" i="1" s="1"/>
  <c r="E580" i="1"/>
  <c r="Q580" i="1" s="1"/>
  <c r="I580" i="1"/>
  <c r="J580" i="1" s="1"/>
  <c r="M598" i="1"/>
  <c r="I602" i="1"/>
  <c r="J602" i="1" s="1"/>
  <c r="E602" i="1"/>
  <c r="Q602" i="1" s="1"/>
  <c r="I606" i="1"/>
  <c r="J606" i="1" s="1"/>
  <c r="E606" i="1"/>
  <c r="Q606" i="1" s="1"/>
  <c r="M607" i="1"/>
  <c r="E612" i="1"/>
  <c r="Q612" i="1" s="1"/>
  <c r="I612" i="1"/>
  <c r="J612" i="1" s="1"/>
  <c r="I617" i="1"/>
  <c r="J617" i="1" s="1"/>
  <c r="E617" i="1"/>
  <c r="Q617" i="1" s="1"/>
  <c r="I625" i="1"/>
  <c r="J625" i="1" s="1"/>
  <c r="E625" i="1"/>
  <c r="Q625" i="1" s="1"/>
  <c r="I633" i="1"/>
  <c r="J633" i="1" s="1"/>
  <c r="L633" i="1"/>
  <c r="M633" i="1" s="1"/>
  <c r="I636" i="1"/>
  <c r="J636" i="1" s="1"/>
  <c r="E636" i="1"/>
  <c r="Q636" i="1" s="1"/>
  <c r="E642" i="1"/>
  <c r="Q642" i="1" s="1"/>
  <c r="I642" i="1"/>
  <c r="J642" i="1" s="1"/>
  <c r="V652" i="1"/>
  <c r="E652" i="1"/>
  <c r="Q652" i="1" s="1"/>
  <c r="I652" i="1"/>
  <c r="J652" i="1" s="1"/>
  <c r="E656" i="1"/>
  <c r="Q656" i="1" s="1"/>
  <c r="I656" i="1"/>
  <c r="J656" i="1" s="1"/>
  <c r="M663" i="1"/>
  <c r="M670" i="1"/>
  <c r="P670" i="1" s="1"/>
  <c r="I711" i="1"/>
  <c r="J711" i="1" s="1"/>
  <c r="L711" i="1"/>
  <c r="M711" i="1" s="1"/>
  <c r="M727" i="1"/>
  <c r="M738" i="1"/>
  <c r="M741" i="1"/>
  <c r="P741" i="1" s="1"/>
  <c r="E735" i="1"/>
  <c r="Q735" i="1" s="1"/>
  <c r="I735" i="1"/>
  <c r="J735" i="1" s="1"/>
  <c r="I696" i="1"/>
  <c r="J696" i="1" s="1"/>
  <c r="E696" i="1"/>
  <c r="Q696" i="1" s="1"/>
  <c r="I730" i="1"/>
  <c r="J730" i="1" s="1"/>
  <c r="E730" i="1"/>
  <c r="Q730" i="1" s="1"/>
  <c r="I645" i="1"/>
  <c r="J645" i="1" s="1"/>
  <c r="E645" i="1"/>
  <c r="Q645" i="1" s="1"/>
  <c r="E661" i="1"/>
  <c r="Q661" i="1" s="1"/>
  <c r="I661" i="1"/>
  <c r="J661" i="1" s="1"/>
  <c r="M698" i="1"/>
  <c r="P698" i="1" s="1"/>
  <c r="R698" i="1" s="1"/>
  <c r="V698" i="1"/>
  <c r="W698" i="1" s="1"/>
  <c r="E658" i="1"/>
  <c r="Q658" i="1" s="1"/>
  <c r="I658" i="1"/>
  <c r="J658" i="1" s="1"/>
  <c r="W340" i="1" l="1"/>
  <c r="P295" i="1"/>
  <c r="W383" i="1"/>
  <c r="W285" i="1"/>
  <c r="P697" i="1"/>
  <c r="P375" i="1"/>
  <c r="R375" i="1" s="1"/>
  <c r="W138" i="1"/>
  <c r="W613" i="1"/>
  <c r="W190" i="1"/>
  <c r="W405" i="1"/>
  <c r="P191" i="1"/>
  <c r="P117" i="1"/>
  <c r="W318" i="1"/>
  <c r="N97" i="1"/>
  <c r="P270" i="1"/>
  <c r="P340" i="1"/>
  <c r="P332" i="1"/>
  <c r="W313" i="1"/>
  <c r="P598" i="1"/>
  <c r="W362" i="1"/>
  <c r="N339" i="1"/>
  <c r="N345" i="1"/>
  <c r="P483" i="1"/>
  <c r="N561" i="1"/>
  <c r="P415" i="1"/>
  <c r="P119" i="1"/>
  <c r="P61" i="1"/>
  <c r="N562" i="1"/>
  <c r="P526" i="1"/>
  <c r="R526" i="1" s="1"/>
  <c r="P47" i="1"/>
  <c r="W53" i="1"/>
  <c r="N147" i="1"/>
  <c r="W130" i="1"/>
  <c r="P502" i="1"/>
  <c r="W526" i="1"/>
  <c r="N445" i="1"/>
  <c r="W46" i="1"/>
  <c r="P53" i="1"/>
  <c r="N104" i="1"/>
  <c r="W125" i="1"/>
  <c r="P669" i="1"/>
  <c r="R669" i="1" s="1"/>
  <c r="N696" i="1"/>
  <c r="W490" i="1"/>
  <c r="W397" i="1"/>
  <c r="P613" i="1"/>
  <c r="N586" i="1"/>
  <c r="P721" i="1"/>
  <c r="R721" i="1" s="1"/>
  <c r="N402" i="1"/>
  <c r="P619" i="1"/>
  <c r="R619" i="1" s="1"/>
  <c r="N563" i="1"/>
  <c r="P65" i="1"/>
  <c r="P727" i="1"/>
  <c r="R727" i="1" s="1"/>
  <c r="P663" i="1"/>
  <c r="N717" i="1"/>
  <c r="N550" i="1"/>
  <c r="P662" i="1"/>
  <c r="N524" i="1"/>
  <c r="P733" i="1"/>
  <c r="R733" i="1" s="1"/>
  <c r="W626" i="1"/>
  <c r="W727" i="1"/>
  <c r="R741" i="1"/>
  <c r="N580" i="1"/>
  <c r="W710" i="1"/>
  <c r="N542" i="1"/>
  <c r="W719" i="1"/>
  <c r="W538" i="1"/>
  <c r="P558" i="1"/>
  <c r="N462" i="1"/>
  <c r="P408" i="1"/>
  <c r="R408" i="1" s="1"/>
  <c r="R402" i="1"/>
  <c r="W404" i="1"/>
  <c r="W418" i="1"/>
  <c r="P674" i="1"/>
  <c r="R674" i="1" s="1"/>
  <c r="W609" i="1"/>
  <c r="W737" i="1"/>
  <c r="W693" i="1"/>
  <c r="W546" i="1"/>
  <c r="R502" i="1"/>
  <c r="P538" i="1"/>
  <c r="W674" i="1"/>
  <c r="W586" i="1"/>
  <c r="P428" i="1"/>
  <c r="N387" i="1"/>
  <c r="W200" i="1"/>
  <c r="N412" i="1"/>
  <c r="W343" i="1"/>
  <c r="N50" i="1"/>
  <c r="N517" i="1"/>
  <c r="W531" i="1"/>
  <c r="W460" i="1"/>
  <c r="R483" i="1"/>
  <c r="R52" i="1"/>
  <c r="W240" i="1"/>
  <c r="W132" i="1"/>
  <c r="P55" i="1"/>
  <c r="P77" i="1"/>
  <c r="W118" i="1"/>
  <c r="P213" i="1"/>
  <c r="W678" i="1"/>
  <c r="P686" i="1"/>
  <c r="R686" i="1" s="1"/>
  <c r="P234" i="1"/>
  <c r="W338" i="1"/>
  <c r="W327" i="1"/>
  <c r="P739" i="1"/>
  <c r="R739" i="1" s="1"/>
  <c r="P719" i="1"/>
  <c r="R719" i="1" s="1"/>
  <c r="N490" i="1"/>
  <c r="N429" i="1"/>
  <c r="N231" i="1"/>
  <c r="P207" i="1"/>
  <c r="N283" i="1"/>
  <c r="N68" i="1"/>
  <c r="P125" i="1"/>
  <c r="P323" i="1"/>
  <c r="N452" i="1"/>
  <c r="W256" i="1"/>
  <c r="P280" i="1"/>
  <c r="P256" i="1"/>
  <c r="N357" i="1"/>
  <c r="N605" i="1"/>
  <c r="N654" i="1"/>
  <c r="W564" i="1"/>
  <c r="P676" i="1"/>
  <c r="R676" i="1" s="1"/>
  <c r="P522" i="1"/>
  <c r="P418" i="1"/>
  <c r="R418" i="1" s="1"/>
  <c r="P398" i="1"/>
  <c r="R398" i="1" s="1"/>
  <c r="P223" i="1"/>
  <c r="P198" i="1"/>
  <c r="P564" i="1"/>
  <c r="R564" i="1" s="1"/>
  <c r="N678" i="1"/>
  <c r="P510" i="1"/>
  <c r="R510" i="1" s="1"/>
  <c r="W177" i="1"/>
  <c r="W266" i="1"/>
  <c r="P287" i="1"/>
  <c r="P264" i="1"/>
  <c r="P48" i="1"/>
  <c r="W134" i="1"/>
  <c r="P155" i="1"/>
  <c r="P183" i="1"/>
  <c r="W193" i="1"/>
  <c r="P205" i="1"/>
  <c r="P367" i="1"/>
  <c r="P365" i="1"/>
  <c r="P724" i="1"/>
  <c r="R724" i="1" s="1"/>
  <c r="N436" i="1"/>
  <c r="P419" i="1"/>
  <c r="R419" i="1" s="1"/>
  <c r="P440" i="1"/>
  <c r="R440" i="1" s="1"/>
  <c r="P397" i="1"/>
  <c r="R397" i="1" s="1"/>
  <c r="W129" i="1"/>
  <c r="P614" i="1"/>
  <c r="P690" i="1"/>
  <c r="R690" i="1" s="1"/>
  <c r="P738" i="1"/>
  <c r="R738" i="1" s="1"/>
  <c r="R670" i="1"/>
  <c r="W717" i="1"/>
  <c r="W590" i="1"/>
  <c r="P623" i="1"/>
  <c r="W585" i="1"/>
  <c r="N601" i="1"/>
  <c r="N557" i="1"/>
  <c r="N454" i="1"/>
  <c r="P465" i="1"/>
  <c r="R465" i="1" s="1"/>
  <c r="N414" i="1"/>
  <c r="P464" i="1"/>
  <c r="R464" i="1" s="1"/>
  <c r="N388" i="1"/>
  <c r="P383" i="1"/>
  <c r="R383" i="1" s="1"/>
  <c r="N71" i="1"/>
  <c r="N75" i="1"/>
  <c r="W62" i="1"/>
  <c r="N39" i="1"/>
  <c r="P380" i="1"/>
  <c r="R380" i="1" s="1"/>
  <c r="P132" i="1"/>
  <c r="P151" i="1"/>
  <c r="N177" i="1"/>
  <c r="P240" i="1"/>
  <c r="W257" i="1"/>
  <c r="W331" i="1"/>
  <c r="W494" i="1"/>
  <c r="W700" i="1"/>
  <c r="W614" i="1"/>
  <c r="N710" i="1"/>
  <c r="W701" i="1"/>
  <c r="N635" i="1"/>
  <c r="W729" i="1"/>
  <c r="P644" i="1"/>
  <c r="R644" i="1" s="1"/>
  <c r="W605" i="1"/>
  <c r="R662" i="1"/>
  <c r="P639" i="1"/>
  <c r="R639" i="1" s="1"/>
  <c r="P537" i="1"/>
  <c r="R537" i="1" s="1"/>
  <c r="W607" i="1"/>
  <c r="P583" i="1"/>
  <c r="R583" i="1" s="1"/>
  <c r="P723" i="1"/>
  <c r="P709" i="1"/>
  <c r="R709" i="1" s="1"/>
  <c r="P521" i="1"/>
  <c r="R514" i="1"/>
  <c r="W523" i="1"/>
  <c r="W420" i="1"/>
  <c r="W392" i="1"/>
  <c r="N423" i="1"/>
  <c r="N401" i="1"/>
  <c r="N86" i="1"/>
  <c r="W115" i="1"/>
  <c r="P44" i="1"/>
  <c r="N76" i="1"/>
  <c r="N100" i="1"/>
  <c r="P136" i="1"/>
  <c r="R136" i="1" s="1"/>
  <c r="W119" i="1"/>
  <c r="P154" i="1"/>
  <c r="W203" i="1"/>
  <c r="W121" i="1"/>
  <c r="W156" i="1"/>
  <c r="W204" i="1"/>
  <c r="N239" i="1"/>
  <c r="P288" i="1"/>
  <c r="P362" i="1"/>
  <c r="N322" i="1"/>
  <c r="N315" i="1"/>
  <c r="N677" i="1"/>
  <c r="P689" i="1"/>
  <c r="R689" i="1" s="1"/>
  <c r="W556" i="1"/>
  <c r="R538" i="1"/>
  <c r="P527" i="1"/>
  <c r="R527" i="1" s="1"/>
  <c r="W416" i="1"/>
  <c r="P392" i="1"/>
  <c r="R392" i="1" s="1"/>
  <c r="N410" i="1"/>
  <c r="R409" i="1"/>
  <c r="W113" i="1"/>
  <c r="P115" i="1"/>
  <c r="N149" i="1"/>
  <c r="W191" i="1"/>
  <c r="N229" i="1"/>
  <c r="W270" i="1"/>
  <c r="N359" i="1"/>
  <c r="P338" i="1"/>
  <c r="N327" i="1"/>
  <c r="R598" i="1"/>
  <c r="N675" i="1"/>
  <c r="W644" i="1"/>
  <c r="P637" i="1"/>
  <c r="R637" i="1" s="1"/>
  <c r="N724" i="1"/>
  <c r="P621" i="1"/>
  <c r="R621" i="1" s="1"/>
  <c r="N499" i="1"/>
  <c r="N510" i="1"/>
  <c r="W686" i="1"/>
  <c r="P728" i="1"/>
  <c r="R728" i="1" s="1"/>
  <c r="P400" i="1"/>
  <c r="R415" i="1"/>
  <c r="P536" i="1"/>
  <c r="R536" i="1" s="1"/>
  <c r="N449" i="1"/>
  <c r="P405" i="1"/>
  <c r="R405" i="1" s="1"/>
  <c r="P60" i="1"/>
  <c r="P145" i="1"/>
  <c r="P98" i="1"/>
  <c r="P171" i="1"/>
  <c r="P199" i="1"/>
  <c r="P133" i="1"/>
  <c r="P212" i="1"/>
  <c r="P216" i="1"/>
  <c r="P218" i="1"/>
  <c r="P204" i="1"/>
  <c r="P225" i="1"/>
  <c r="P373" i="1"/>
  <c r="N342" i="1"/>
  <c r="P329" i="1"/>
  <c r="N308" i="1"/>
  <c r="P597" i="1"/>
  <c r="R597" i="1" s="1"/>
  <c r="P579" i="1"/>
  <c r="W566" i="1"/>
  <c r="P655" i="1"/>
  <c r="R655" i="1" s="1"/>
  <c r="N703" i="1"/>
  <c r="P722" i="1"/>
  <c r="R722" i="1" s="1"/>
  <c r="N548" i="1"/>
  <c r="P423" i="1"/>
  <c r="R423" i="1" s="1"/>
  <c r="W530" i="1"/>
  <c r="N43" i="1"/>
  <c r="W469" i="1"/>
  <c r="P393" i="1"/>
  <c r="R393" i="1" s="1"/>
  <c r="W58" i="1"/>
  <c r="P442" i="1"/>
  <c r="R442" i="1" s="1"/>
  <c r="P386" i="1"/>
  <c r="R386" i="1" s="1"/>
  <c r="N143" i="1"/>
  <c r="W153" i="1"/>
  <c r="P131" i="1"/>
  <c r="W152" i="1"/>
  <c r="N138" i="1"/>
  <c r="P236" i="1"/>
  <c r="P271" i="1"/>
  <c r="N721" i="1"/>
  <c r="S721" i="1" s="1"/>
  <c r="W724" i="1"/>
  <c r="P478" i="1"/>
  <c r="R478" i="1" s="1"/>
  <c r="P135" i="1"/>
  <c r="N176" i="1"/>
  <c r="P200" i="1"/>
  <c r="W174" i="1"/>
  <c r="P193" i="1"/>
  <c r="N255" i="1"/>
  <c r="W328" i="1"/>
  <c r="P720" i="1"/>
  <c r="R720" i="1" s="1"/>
  <c r="P694" i="1"/>
  <c r="R694" i="1" s="1"/>
  <c r="P638" i="1"/>
  <c r="R638" i="1" s="1"/>
  <c r="N570" i="1"/>
  <c r="N518" i="1"/>
  <c r="W505" i="1"/>
  <c r="R522" i="1"/>
  <c r="P470" i="1"/>
  <c r="R470" i="1" s="1"/>
  <c r="W400" i="1"/>
  <c r="P505" i="1"/>
  <c r="R505" i="1" s="1"/>
  <c r="P496" i="1"/>
  <c r="P58" i="1"/>
  <c r="P417" i="1"/>
  <c r="R417" i="1" s="1"/>
  <c r="W137" i="1"/>
  <c r="W163" i="1"/>
  <c r="N195" i="1"/>
  <c r="N277" i="1"/>
  <c r="P369" i="1"/>
  <c r="N347" i="1"/>
  <c r="W364" i="1"/>
  <c r="P273" i="1"/>
  <c r="N335" i="1"/>
  <c r="N317" i="1"/>
  <c r="P316" i="1"/>
  <c r="N184" i="1"/>
  <c r="P184" i="1"/>
  <c r="W525" i="1"/>
  <c r="N525" i="1"/>
  <c r="P385" i="1"/>
  <c r="R385" i="1" s="1"/>
  <c r="N385" i="1"/>
  <c r="P172" i="1"/>
  <c r="N172" i="1"/>
  <c r="P607" i="1"/>
  <c r="R607" i="1" s="1"/>
  <c r="R614" i="1"/>
  <c r="R613" i="1"/>
  <c r="P702" i="1"/>
  <c r="R702" i="1" s="1"/>
  <c r="P678" i="1"/>
  <c r="R678" i="1" s="1"/>
  <c r="N625" i="1"/>
  <c r="N606" i="1"/>
  <c r="N718" i="1"/>
  <c r="N641" i="1"/>
  <c r="N713" i="1"/>
  <c r="P618" i="1"/>
  <c r="R618" i="1" s="1"/>
  <c r="R701" i="1"/>
  <c r="W738" i="1"/>
  <c r="P685" i="1"/>
  <c r="R685" i="1" s="1"/>
  <c r="R623" i="1"/>
  <c r="W721" i="1"/>
  <c r="W637" i="1"/>
  <c r="W601" i="1"/>
  <c r="N679" i="1"/>
  <c r="N581" i="1"/>
  <c r="R579" i="1"/>
  <c r="R723" i="1"/>
  <c r="W709" i="1"/>
  <c r="R543" i="1"/>
  <c r="P482" i="1"/>
  <c r="R482" i="1" s="1"/>
  <c r="P501" i="1"/>
  <c r="R501" i="1" s="1"/>
  <c r="N505" i="1"/>
  <c r="N500" i="1"/>
  <c r="R558" i="1"/>
  <c r="N511" i="1"/>
  <c r="W502" i="1"/>
  <c r="W567" i="1"/>
  <c r="N431" i="1"/>
  <c r="P404" i="1"/>
  <c r="R404" i="1" s="1"/>
  <c r="N408" i="1"/>
  <c r="S408" i="1" s="1"/>
  <c r="W448" i="1"/>
  <c r="R400" i="1"/>
  <c r="N58" i="1"/>
  <c r="P401" i="1"/>
  <c r="R401" i="1" s="1"/>
  <c r="W453" i="1"/>
  <c r="P441" i="1"/>
  <c r="R441" i="1" s="1"/>
  <c r="W442" i="1"/>
  <c r="N74" i="1"/>
  <c r="W47" i="1"/>
  <c r="N56" i="1"/>
  <c r="N66" i="1"/>
  <c r="N425" i="1"/>
  <c r="W48" i="1"/>
  <c r="W136" i="1"/>
  <c r="P219" i="1"/>
  <c r="P186" i="1"/>
  <c r="W182" i="1"/>
  <c r="P203" i="1"/>
  <c r="P164" i="1"/>
  <c r="W195" i="1"/>
  <c r="W172" i="1"/>
  <c r="W192" i="1"/>
  <c r="N228" i="1"/>
  <c r="N244" i="1"/>
  <c r="W238" i="1"/>
  <c r="N371" i="1"/>
  <c r="S371" i="1" s="1"/>
  <c r="W335" i="1"/>
  <c r="W344" i="1"/>
  <c r="W345" i="1"/>
  <c r="P328" i="1"/>
  <c r="P321" i="1"/>
  <c r="P609" i="1"/>
  <c r="R609" i="1" s="1"/>
  <c r="P525" i="1"/>
  <c r="R525" i="1" s="1"/>
  <c r="W501" i="1"/>
  <c r="N530" i="1"/>
  <c r="N132" i="1"/>
  <c r="P196" i="1"/>
  <c r="P372" i="1"/>
  <c r="P335" i="1"/>
  <c r="P344" i="1"/>
  <c r="R344" i="1" s="1"/>
  <c r="N673" i="1"/>
  <c r="N708" i="1"/>
  <c r="N651" i="1"/>
  <c r="N736" i="1"/>
  <c r="W731" i="1"/>
  <c r="N38" i="1"/>
  <c r="W662" i="1"/>
  <c r="N486" i="1"/>
  <c r="N489" i="1"/>
  <c r="P503" i="1"/>
  <c r="R503" i="1" s="1"/>
  <c r="P477" i="1"/>
  <c r="R477" i="1" s="1"/>
  <c r="W570" i="1"/>
  <c r="N526" i="1"/>
  <c r="S526" i="1" s="1"/>
  <c r="S510" i="1"/>
  <c r="R506" i="1"/>
  <c r="N538" i="1"/>
  <c r="S538" i="1" s="1"/>
  <c r="X538" i="1" s="1"/>
  <c r="Z538" i="1" s="1"/>
  <c r="AA538" i="1" s="1"/>
  <c r="W412" i="1"/>
  <c r="N463" i="1"/>
  <c r="P46" i="1"/>
  <c r="P449" i="1"/>
  <c r="R449" i="1" s="1"/>
  <c r="S449" i="1" s="1"/>
  <c r="P460" i="1"/>
  <c r="R460" i="1" s="1"/>
  <c r="N409" i="1"/>
  <c r="P42" i="1"/>
  <c r="N72" i="1"/>
  <c r="N119" i="1"/>
  <c r="W449" i="1"/>
  <c r="N98" i="1"/>
  <c r="P93" i="1"/>
  <c r="N89" i="1"/>
  <c r="N79" i="1"/>
  <c r="P118" i="1"/>
  <c r="W44" i="1"/>
  <c r="P129" i="1"/>
  <c r="R129" i="1" s="1"/>
  <c r="P138" i="1"/>
  <c r="W116" i="1"/>
  <c r="W133" i="1"/>
  <c r="P202" i="1"/>
  <c r="W173" i="1"/>
  <c r="N193" i="1"/>
  <c r="W202" i="1"/>
  <c r="N219" i="1"/>
  <c r="N233" i="1"/>
  <c r="P258" i="1"/>
  <c r="N266" i="1"/>
  <c r="W370" i="1"/>
  <c r="R663" i="1"/>
  <c r="N602" i="1"/>
  <c r="N630" i="1"/>
  <c r="N684" i="1"/>
  <c r="N681" i="1"/>
  <c r="W621" i="1"/>
  <c r="N653" i="1"/>
  <c r="N730" i="1"/>
  <c r="N617" i="1"/>
  <c r="N726" i="1"/>
  <c r="S726" i="1" s="1"/>
  <c r="N674" i="1"/>
  <c r="S674" i="1" s="1"/>
  <c r="X674" i="1" s="1"/>
  <c r="Z674" i="1" s="1"/>
  <c r="AA674" i="1" s="1"/>
  <c r="N614" i="1"/>
  <c r="N720" i="1"/>
  <c r="W685" i="1"/>
  <c r="W638" i="1"/>
  <c r="W594" i="1"/>
  <c r="R737" i="1"/>
  <c r="N692" i="1"/>
  <c r="W670" i="1"/>
  <c r="P731" i="1"/>
  <c r="R731" i="1" s="1"/>
  <c r="W728" i="1"/>
  <c r="W610" i="1"/>
  <c r="R697" i="1"/>
  <c r="N649" i="1"/>
  <c r="P626" i="1"/>
  <c r="R626" i="1" s="1"/>
  <c r="W714" i="1"/>
  <c r="W689" i="1"/>
  <c r="W492" i="1"/>
  <c r="W495" i="1"/>
  <c r="P518" i="1"/>
  <c r="R518" i="1" s="1"/>
  <c r="P554" i="1"/>
  <c r="N506" i="1"/>
  <c r="P494" i="1"/>
  <c r="R494" i="1" s="1"/>
  <c r="R487" i="1"/>
  <c r="N459" i="1"/>
  <c r="W433" i="1"/>
  <c r="N447" i="1"/>
  <c r="N466" i="1"/>
  <c r="N47" i="1"/>
  <c r="W475" i="1"/>
  <c r="P424" i="1"/>
  <c r="R424" i="1" s="1"/>
  <c r="N54" i="1"/>
  <c r="N42" i="1"/>
  <c r="W398" i="1"/>
  <c r="N105" i="1"/>
  <c r="N70" i="1"/>
  <c r="N110" i="1"/>
  <c r="N102" i="1"/>
  <c r="P130" i="1"/>
  <c r="R130" i="1" s="1"/>
  <c r="W126" i="1"/>
  <c r="W135" i="1"/>
  <c r="N114" i="1"/>
  <c r="P158" i="1"/>
  <c r="P121" i="1"/>
  <c r="N146" i="1"/>
  <c r="W175" i="1"/>
  <c r="P174" i="1"/>
  <c r="P163" i="1"/>
  <c r="N234" i="1"/>
  <c r="N150" i="1"/>
  <c r="P197" i="1"/>
  <c r="N215" i="1"/>
  <c r="W210" i="1"/>
  <c r="P246" i="1"/>
  <c r="N263" i="1"/>
  <c r="N209" i="1"/>
  <c r="N225" i="1"/>
  <c r="N270" i="1"/>
  <c r="W248" i="1"/>
  <c r="N365" i="1"/>
  <c r="P370" i="1"/>
  <c r="N338" i="1"/>
  <c r="W321" i="1"/>
  <c r="W438" i="1"/>
  <c r="N438" i="1"/>
  <c r="W547" i="1"/>
  <c r="N547" i="1"/>
  <c r="P547" i="1"/>
  <c r="R547" i="1" s="1"/>
  <c r="N251" i="1"/>
  <c r="P251" i="1"/>
  <c r="N552" i="1"/>
  <c r="P552" i="1"/>
  <c r="R552" i="1" s="1"/>
  <c r="N437" i="1"/>
  <c r="P437" i="1"/>
  <c r="R437" i="1" s="1"/>
  <c r="W51" i="1"/>
  <c r="N51" i="1"/>
  <c r="W511" i="1"/>
  <c r="P425" i="1"/>
  <c r="R425" i="1" s="1"/>
  <c r="W64" i="1"/>
  <c r="N64" i="1"/>
  <c r="N618" i="1"/>
  <c r="S618" i="1" s="1"/>
  <c r="P641" i="1"/>
  <c r="R641" i="1" s="1"/>
  <c r="W713" i="1"/>
  <c r="P675" i="1"/>
  <c r="R675" i="1" s="1"/>
  <c r="N731" i="1"/>
  <c r="S731" i="1" s="1"/>
  <c r="W692" i="1"/>
  <c r="N578" i="1"/>
  <c r="P585" i="1"/>
  <c r="R585" i="1" s="1"/>
  <c r="P622" i="1"/>
  <c r="R622" i="1" s="1"/>
  <c r="W580" i="1"/>
  <c r="W625" i="1"/>
  <c r="N546" i="1"/>
  <c r="S546" i="1" s="1"/>
  <c r="P629" i="1"/>
  <c r="R629" i="1" s="1"/>
  <c r="P703" i="1"/>
  <c r="R703" i="1" s="1"/>
  <c r="P567" i="1"/>
  <c r="R567" i="1" s="1"/>
  <c r="N503" i="1"/>
  <c r="W534" i="1"/>
  <c r="N404" i="1"/>
  <c r="S404" i="1" s="1"/>
  <c r="N496" i="1"/>
  <c r="P551" i="1"/>
  <c r="R551" i="1" s="1"/>
  <c r="N469" i="1"/>
  <c r="N428" i="1"/>
  <c r="N405" i="1"/>
  <c r="N392" i="1"/>
  <c r="S392" i="1" s="1"/>
  <c r="N460" i="1"/>
  <c r="S460" i="1" s="1"/>
  <c r="S402" i="1"/>
  <c r="N456" i="1"/>
  <c r="N451" i="1"/>
  <c r="N441" i="1"/>
  <c r="S441" i="1" s="1"/>
  <c r="P114" i="1"/>
  <c r="N115" i="1"/>
  <c r="N137" i="1"/>
  <c r="N90" i="1"/>
  <c r="N113" i="1"/>
  <c r="N126" i="1"/>
  <c r="N53" i="1"/>
  <c r="P68" i="1"/>
  <c r="P127" i="1"/>
  <c r="W131" i="1"/>
  <c r="W96" i="1"/>
  <c r="W85" i="1"/>
  <c r="N192" i="1"/>
  <c r="N204" i="1"/>
  <c r="P176" i="1"/>
  <c r="P201" i="1"/>
  <c r="N191" i="1"/>
  <c r="N208" i="1"/>
  <c r="N205" i="1"/>
  <c r="P231" i="1"/>
  <c r="R231" i="1" s="1"/>
  <c r="P217" i="1"/>
  <c r="N280" i="1"/>
  <c r="W225" i="1"/>
  <c r="N374" i="1"/>
  <c r="N364" i="1"/>
  <c r="N363" i="1"/>
  <c r="N361" i="1"/>
  <c r="N340" i="1"/>
  <c r="N330" i="1"/>
  <c r="N344" i="1"/>
  <c r="N343" i="1"/>
  <c r="W329" i="1"/>
  <c r="P315" i="1"/>
  <c r="W309" i="1"/>
  <c r="P318" i="1"/>
  <c r="N310" i="1"/>
  <c r="N295" i="1"/>
  <c r="N291" i="1"/>
  <c r="N642" i="1"/>
  <c r="P572" i="1"/>
  <c r="R572" i="1" s="1"/>
  <c r="P736" i="1"/>
  <c r="R736" i="1" s="1"/>
  <c r="P692" i="1"/>
  <c r="R692" i="1" s="1"/>
  <c r="S692" i="1" s="1"/>
  <c r="X721" i="1"/>
  <c r="Z721" i="1" s="1"/>
  <c r="P704" i="1"/>
  <c r="R704" i="1" s="1"/>
  <c r="W582" i="1"/>
  <c r="W730" i="1"/>
  <c r="P588" i="1"/>
  <c r="R588" i="1" s="1"/>
  <c r="W598" i="1"/>
  <c r="P654" i="1"/>
  <c r="R654" i="1" s="1"/>
  <c r="S654" i="1" s="1"/>
  <c r="N569" i="1"/>
  <c r="N514" i="1"/>
  <c r="N502" i="1"/>
  <c r="S502" i="1" s="1"/>
  <c r="X502" i="1" s="1"/>
  <c r="Z502" i="1" s="1"/>
  <c r="P511" i="1"/>
  <c r="R511" i="1" s="1"/>
  <c r="W726" i="1"/>
  <c r="R554" i="1"/>
  <c r="N554" i="1"/>
  <c r="N501" i="1"/>
  <c r="S501" i="1" s="1"/>
  <c r="W655" i="1"/>
  <c r="P412" i="1"/>
  <c r="R412" i="1" s="1"/>
  <c r="W436" i="1"/>
  <c r="P436" i="1"/>
  <c r="R436" i="1" s="1"/>
  <c r="P438" i="1"/>
  <c r="R438" i="1" s="1"/>
  <c r="P435" i="1"/>
  <c r="R435" i="1" s="1"/>
  <c r="N46" i="1"/>
  <c r="P429" i="1"/>
  <c r="R429" i="1" s="1"/>
  <c r="S429" i="1" s="1"/>
  <c r="N450" i="1"/>
  <c r="N440" i="1"/>
  <c r="S440" i="1" s="1"/>
  <c r="N400" i="1"/>
  <c r="S400" i="1" s="1"/>
  <c r="N397" i="1"/>
  <c r="S397" i="1" s="1"/>
  <c r="N442" i="1"/>
  <c r="S442" i="1" s="1"/>
  <c r="W54" i="1"/>
  <c r="X408" i="1"/>
  <c r="Z408" i="1" s="1"/>
  <c r="W439" i="1"/>
  <c r="N398" i="1"/>
  <c r="S398" i="1" s="1"/>
  <c r="P74" i="1"/>
  <c r="N134" i="1"/>
  <c r="P376" i="1"/>
  <c r="R376" i="1" s="1"/>
  <c r="P64" i="1"/>
  <c r="P66" i="1"/>
  <c r="N78" i="1"/>
  <c r="P109" i="1"/>
  <c r="R48" i="1"/>
  <c r="N48" i="1"/>
  <c r="N77" i="1"/>
  <c r="P85" i="1"/>
  <c r="W401" i="1"/>
  <c r="P116" i="1"/>
  <c r="W108" i="1"/>
  <c r="W66" i="1"/>
  <c r="N174" i="1"/>
  <c r="N166" i="1"/>
  <c r="W176" i="1"/>
  <c r="N235" i="1"/>
  <c r="N282" i="1"/>
  <c r="P286" i="1"/>
  <c r="N370" i="1"/>
  <c r="N372" i="1"/>
  <c r="N369" i="1"/>
  <c r="P334" i="1"/>
  <c r="P325" i="1"/>
  <c r="N354" i="1"/>
  <c r="N341" i="1"/>
  <c r="N328" i="1"/>
  <c r="P309" i="1"/>
  <c r="N299" i="1"/>
  <c r="N652" i="1"/>
  <c r="P711" i="1"/>
  <c r="R711" i="1" s="1"/>
  <c r="N593" i="1"/>
  <c r="P660" i="1"/>
  <c r="R660" i="1" s="1"/>
  <c r="N594" i="1"/>
  <c r="X731" i="1"/>
  <c r="Z731" i="1" s="1"/>
  <c r="P693" i="1"/>
  <c r="R693" i="1" s="1"/>
  <c r="P582" i="1"/>
  <c r="R582" i="1" s="1"/>
  <c r="S678" i="1"/>
  <c r="P591" i="1"/>
  <c r="R591" i="1" s="1"/>
  <c r="W741" i="1"/>
  <c r="W649" i="1"/>
  <c r="X546" i="1"/>
  <c r="Z546" i="1" s="1"/>
  <c r="AA546" i="1" s="1"/>
  <c r="P573" i="1"/>
  <c r="R573" i="1" s="1"/>
  <c r="P734" i="1"/>
  <c r="R734" i="1" s="1"/>
  <c r="P570" i="1"/>
  <c r="R570" i="1" s="1"/>
  <c r="S570" i="1" s="1"/>
  <c r="X570" i="1" s="1"/>
  <c r="Z570" i="1" s="1"/>
  <c r="W517" i="1"/>
  <c r="P528" i="1"/>
  <c r="R528" i="1" s="1"/>
  <c r="P498" i="1"/>
  <c r="R498" i="1" s="1"/>
  <c r="P544" i="1"/>
  <c r="R544" i="1" s="1"/>
  <c r="P535" i="1"/>
  <c r="R535" i="1" s="1"/>
  <c r="S505" i="1"/>
  <c r="P530" i="1"/>
  <c r="R530" i="1" s="1"/>
  <c r="S530" i="1" s="1"/>
  <c r="X530" i="1" s="1"/>
  <c r="Z530" i="1" s="1"/>
  <c r="S436" i="1"/>
  <c r="X392" i="1"/>
  <c r="Z392" i="1" s="1"/>
  <c r="N522" i="1"/>
  <c r="P485" i="1"/>
  <c r="R485" i="1" s="1"/>
  <c r="W463" i="1"/>
  <c r="P454" i="1"/>
  <c r="R454" i="1" s="1"/>
  <c r="S454" i="1" s="1"/>
  <c r="N475" i="1"/>
  <c r="P457" i="1"/>
  <c r="R457" i="1" s="1"/>
  <c r="N406" i="1"/>
  <c r="W503" i="1"/>
  <c r="P51" i="1"/>
  <c r="N49" i="1"/>
  <c r="P45" i="1"/>
  <c r="P108" i="1"/>
  <c r="W409" i="1"/>
  <c r="P112" i="1"/>
  <c r="P103" i="1"/>
  <c r="P378" i="1"/>
  <c r="R378" i="1" s="1"/>
  <c r="P379" i="1"/>
  <c r="R379" i="1" s="1"/>
  <c r="N417" i="1"/>
  <c r="N118" i="1"/>
  <c r="P124" i="1"/>
  <c r="P156" i="1"/>
  <c r="P157" i="1"/>
  <c r="N180" i="1"/>
  <c r="N207" i="1"/>
  <c r="P206" i="1"/>
  <c r="N197" i="1"/>
  <c r="P215" i="1"/>
  <c r="W263" i="1"/>
  <c r="N356" i="1"/>
  <c r="N346" i="1"/>
  <c r="N321" i="1"/>
  <c r="P304" i="1"/>
  <c r="S720" i="1"/>
  <c r="P592" i="1"/>
  <c r="R592" i="1" s="1"/>
  <c r="W720" i="1"/>
  <c r="S703" i="1"/>
  <c r="N564" i="1"/>
  <c r="W694" i="1"/>
  <c r="P523" i="1"/>
  <c r="R523" i="1" s="1"/>
  <c r="N477" i="1"/>
  <c r="N497" i="1"/>
  <c r="W551" i="1"/>
  <c r="W552" i="1"/>
  <c r="X400" i="1"/>
  <c r="Z400" i="1" s="1"/>
  <c r="AA400" i="1" s="1"/>
  <c r="X460" i="1"/>
  <c r="Z460" i="1" s="1"/>
  <c r="W114" i="1"/>
  <c r="P96" i="1"/>
  <c r="N125" i="1"/>
  <c r="N254" i="1"/>
  <c r="S231" i="1"/>
  <c r="P224" i="1"/>
  <c r="W231" i="1"/>
  <c r="W365" i="1"/>
  <c r="N362" i="1"/>
  <c r="W315" i="1"/>
  <c r="N311" i="1"/>
  <c r="N296" i="1"/>
  <c r="P633" i="1"/>
  <c r="R633" i="1" s="1"/>
  <c r="W680" i="1"/>
  <c r="N680" i="1"/>
  <c r="W615" i="1"/>
  <c r="N615" i="1"/>
  <c r="N595" i="1"/>
  <c r="W595" i="1"/>
  <c r="N632" i="1"/>
  <c r="P632" i="1"/>
  <c r="R632" i="1" s="1"/>
  <c r="W600" i="1"/>
  <c r="N600" i="1"/>
  <c r="P600" i="1"/>
  <c r="R600" i="1" s="1"/>
  <c r="W657" i="1"/>
  <c r="N657" i="1"/>
  <c r="P612" i="1"/>
  <c r="R612" i="1" s="1"/>
  <c r="P657" i="1"/>
  <c r="R657" i="1" s="1"/>
  <c r="P715" i="1"/>
  <c r="R715" i="1" s="1"/>
  <c r="W630" i="1"/>
  <c r="N705" i="1"/>
  <c r="W705" i="1"/>
  <c r="W616" i="1"/>
  <c r="N616" i="1"/>
  <c r="W648" i="1"/>
  <c r="N648" i="1"/>
  <c r="N725" i="1"/>
  <c r="W725" i="1"/>
  <c r="P725" i="1"/>
  <c r="R725" i="1" s="1"/>
  <c r="N661" i="1"/>
  <c r="W661" i="1"/>
  <c r="W633" i="1"/>
  <c r="N633" i="1"/>
  <c r="W608" i="1"/>
  <c r="N608" i="1"/>
  <c r="P684" i="1"/>
  <c r="R684" i="1" s="1"/>
  <c r="S684" i="1" s="1"/>
  <c r="W589" i="1"/>
  <c r="N589" i="1"/>
  <c r="AA721" i="1"/>
  <c r="W715" i="1"/>
  <c r="N715" i="1"/>
  <c r="W628" i="1"/>
  <c r="N628" i="1"/>
  <c r="W603" i="1"/>
  <c r="N603" i="1"/>
  <c r="N666" i="1"/>
  <c r="W666" i="1"/>
  <c r="W642" i="1"/>
  <c r="W684" i="1"/>
  <c r="W658" i="1"/>
  <c r="P658" i="1"/>
  <c r="R658" i="1" s="1"/>
  <c r="N658" i="1"/>
  <c r="W735" i="1"/>
  <c r="N735" i="1"/>
  <c r="W665" i="1"/>
  <c r="N665" i="1"/>
  <c r="W656" i="1"/>
  <c r="N656" i="1"/>
  <c r="W572" i="1"/>
  <c r="N572" i="1"/>
  <c r="S572" i="1" s="1"/>
  <c r="S736" i="1"/>
  <c r="N671" i="1"/>
  <c r="W671" i="1"/>
  <c r="AA731" i="1"/>
  <c r="P665" i="1"/>
  <c r="R665" i="1" s="1"/>
  <c r="W634" i="1"/>
  <c r="N634" i="1"/>
  <c r="P634" i="1"/>
  <c r="R634" i="1" s="1"/>
  <c r="W646" i="1"/>
  <c r="N646" i="1"/>
  <c r="P603" i="1"/>
  <c r="R603" i="1" s="1"/>
  <c r="N640" i="1"/>
  <c r="P640" i="1"/>
  <c r="R640" i="1" s="1"/>
  <c r="W652" i="1"/>
  <c r="N645" i="1"/>
  <c r="W645" i="1"/>
  <c r="N711" i="1"/>
  <c r="S711" i="1" s="1"/>
  <c r="P652" i="1"/>
  <c r="R652" i="1" s="1"/>
  <c r="S652" i="1" s="1"/>
  <c r="W636" i="1"/>
  <c r="N636" i="1"/>
  <c r="W612" i="1"/>
  <c r="N612" i="1"/>
  <c r="S612" i="1" s="1"/>
  <c r="P680" i="1"/>
  <c r="R680" i="1" s="1"/>
  <c r="W667" i="1"/>
  <c r="N667" i="1"/>
  <c r="S641" i="1"/>
  <c r="N587" i="1"/>
  <c r="P587" i="1"/>
  <c r="R587" i="1" s="1"/>
  <c r="N660" i="1"/>
  <c r="S660" i="1" s="1"/>
  <c r="W660" i="1"/>
  <c r="P593" i="1"/>
  <c r="R593" i="1" s="1"/>
  <c r="S593" i="1" s="1"/>
  <c r="N627" i="1"/>
  <c r="W627" i="1"/>
  <c r="W593" i="1"/>
  <c r="P656" i="1"/>
  <c r="R656" i="1" s="1"/>
  <c r="P595" i="1"/>
  <c r="R595" i="1" s="1"/>
  <c r="X720" i="1"/>
  <c r="Z720" i="1" s="1"/>
  <c r="AB721" i="1" s="1"/>
  <c r="P559" i="1"/>
  <c r="R559" i="1" s="1"/>
  <c r="P718" i="1"/>
  <c r="R718" i="1" s="1"/>
  <c r="S718" i="1" s="1"/>
  <c r="N659" i="1"/>
  <c r="W659" i="1"/>
  <c r="P625" i="1"/>
  <c r="R625" i="1" s="1"/>
  <c r="S625" i="1" s="1"/>
  <c r="X625" i="1" s="1"/>
  <c r="Z625" i="1" s="1"/>
  <c r="N638" i="1"/>
  <c r="S638" i="1" s="1"/>
  <c r="X638" i="1" s="1"/>
  <c r="Z638" i="1" s="1"/>
  <c r="P602" i="1"/>
  <c r="R602" i="1" s="1"/>
  <c r="S602" i="1" s="1"/>
  <c r="W555" i="1"/>
  <c r="N555" i="1"/>
  <c r="N685" i="1"/>
  <c r="S685" i="1" s="1"/>
  <c r="N737" i="1"/>
  <c r="S737" i="1" s="1"/>
  <c r="N702" i="1"/>
  <c r="S702" i="1" s="1"/>
  <c r="P673" i="1"/>
  <c r="R673" i="1" s="1"/>
  <c r="S673" i="1" s="1"/>
  <c r="P651" i="1"/>
  <c r="R651" i="1" s="1"/>
  <c r="S651" i="1" s="1"/>
  <c r="P636" i="1"/>
  <c r="R636" i="1" s="1"/>
  <c r="P705" i="1"/>
  <c r="R705" i="1" s="1"/>
  <c r="P555" i="1"/>
  <c r="R555" i="1" s="1"/>
  <c r="P708" i="1"/>
  <c r="R708" i="1" s="1"/>
  <c r="S708" i="1" s="1"/>
  <c r="W647" i="1"/>
  <c r="P647" i="1"/>
  <c r="R647" i="1" s="1"/>
  <c r="N647" i="1"/>
  <c r="P630" i="1"/>
  <c r="R630" i="1" s="1"/>
  <c r="S630" i="1" s="1"/>
  <c r="N599" i="1"/>
  <c r="W599" i="1"/>
  <c r="P590" i="1"/>
  <c r="R590" i="1" s="1"/>
  <c r="N733" i="1"/>
  <c r="W733" i="1"/>
  <c r="P596" i="1"/>
  <c r="R596" i="1" s="1"/>
  <c r="P730" i="1"/>
  <c r="R730" i="1" s="1"/>
  <c r="S730" i="1" s="1"/>
  <c r="X730" i="1" s="1"/>
  <c r="Z730" i="1" s="1"/>
  <c r="N668" i="1"/>
  <c r="W668" i="1"/>
  <c r="P668" i="1"/>
  <c r="R668" i="1" s="1"/>
  <c r="P604" i="1"/>
  <c r="R604" i="1" s="1"/>
  <c r="N719" i="1"/>
  <c r="S719" i="1" s="1"/>
  <c r="N709" i="1"/>
  <c r="S709" i="1" s="1"/>
  <c r="N689" i="1"/>
  <c r="S689" i="1" s="1"/>
  <c r="N686" i="1"/>
  <c r="P580" i="1"/>
  <c r="R580" i="1" s="1"/>
  <c r="S580" i="1" s="1"/>
  <c r="X580" i="1" s="1"/>
  <c r="Z580" i="1" s="1"/>
  <c r="N739" i="1"/>
  <c r="S739" i="1" s="1"/>
  <c r="W739" i="1"/>
  <c r="P608" i="1"/>
  <c r="R608" i="1" s="1"/>
  <c r="P649" i="1"/>
  <c r="R649" i="1" s="1"/>
  <c r="S649" i="1" s="1"/>
  <c r="X649" i="1" s="1"/>
  <c r="Z649" i="1" s="1"/>
  <c r="P735" i="1"/>
  <c r="R735" i="1" s="1"/>
  <c r="P716" i="1"/>
  <c r="R716" i="1" s="1"/>
  <c r="P700" i="1"/>
  <c r="R700" i="1" s="1"/>
  <c r="P671" i="1"/>
  <c r="R671" i="1" s="1"/>
  <c r="P714" i="1"/>
  <c r="R714" i="1" s="1"/>
  <c r="P683" i="1"/>
  <c r="R683" i="1" s="1"/>
  <c r="N672" i="1"/>
  <c r="P624" i="1"/>
  <c r="R624" i="1" s="1"/>
  <c r="P601" i="1"/>
  <c r="R601" i="1" s="1"/>
  <c r="S601" i="1" s="1"/>
  <c r="X601" i="1" s="1"/>
  <c r="Z601" i="1" s="1"/>
  <c r="N610" i="1"/>
  <c r="W571" i="1"/>
  <c r="N571" i="1"/>
  <c r="P682" i="1"/>
  <c r="R682" i="1" s="1"/>
  <c r="P653" i="1"/>
  <c r="R653" i="1" s="1"/>
  <c r="S653" i="1" s="1"/>
  <c r="P611" i="1"/>
  <c r="R611" i="1" s="1"/>
  <c r="P699" i="1"/>
  <c r="R699" i="1" s="1"/>
  <c r="P681" i="1"/>
  <c r="R681" i="1" s="1"/>
  <c r="S681" i="1" s="1"/>
  <c r="P620" i="1"/>
  <c r="R620" i="1" s="1"/>
  <c r="P687" i="1"/>
  <c r="R687" i="1" s="1"/>
  <c r="W653" i="1"/>
  <c r="N655" i="1"/>
  <c r="S655" i="1" s="1"/>
  <c r="X655" i="1" s="1"/>
  <c r="Z655" i="1" s="1"/>
  <c r="X689" i="1"/>
  <c r="Z689" i="1" s="1"/>
  <c r="N722" i="1"/>
  <c r="S722" i="1" s="1"/>
  <c r="W722" i="1"/>
  <c r="N541" i="1"/>
  <c r="W541" i="1"/>
  <c r="N513" i="1"/>
  <c r="P513" i="1"/>
  <c r="R513" i="1" s="1"/>
  <c r="W635" i="1"/>
  <c r="W581" i="1"/>
  <c r="W654" i="1"/>
  <c r="P532" i="1"/>
  <c r="R532" i="1" s="1"/>
  <c r="X501" i="1"/>
  <c r="Z501" i="1" s="1"/>
  <c r="W507" i="1"/>
  <c r="N507" i="1"/>
  <c r="W679" i="1"/>
  <c r="P642" i="1"/>
  <c r="R642" i="1" s="1"/>
  <c r="S642" i="1" s="1"/>
  <c r="N741" i="1"/>
  <c r="S741" i="1" s="1"/>
  <c r="X741" i="1" s="1"/>
  <c r="Z741" i="1" s="1"/>
  <c r="N663" i="1"/>
  <c r="S663" i="1" s="1"/>
  <c r="N698" i="1"/>
  <c r="S698" i="1" s="1"/>
  <c r="X698" i="1" s="1"/>
  <c r="Z698" i="1" s="1"/>
  <c r="N738" i="1"/>
  <c r="S738" i="1" s="1"/>
  <c r="X738" i="1" s="1"/>
  <c r="Z738" i="1" s="1"/>
  <c r="N670" i="1"/>
  <c r="S670" i="1" s="1"/>
  <c r="X670" i="1" s="1"/>
  <c r="Z670" i="1" s="1"/>
  <c r="N598" i="1"/>
  <c r="S598" i="1" s="1"/>
  <c r="X598" i="1" s="1"/>
  <c r="Z598" i="1" s="1"/>
  <c r="P577" i="1"/>
  <c r="R577" i="1" s="1"/>
  <c r="N577" i="1"/>
  <c r="N533" i="1"/>
  <c r="W533" i="1"/>
  <c r="N701" i="1"/>
  <c r="S701" i="1" s="1"/>
  <c r="X701" i="1" s="1"/>
  <c r="Z701" i="1" s="1"/>
  <c r="P710" i="1"/>
  <c r="R710" i="1" s="1"/>
  <c r="S710" i="1" s="1"/>
  <c r="X710" i="1" s="1"/>
  <c r="Z710" i="1" s="1"/>
  <c r="W650" i="1"/>
  <c r="N650" i="1"/>
  <c r="W584" i="1"/>
  <c r="N584" i="1"/>
  <c r="W631" i="1"/>
  <c r="N631" i="1"/>
  <c r="N623" i="1"/>
  <c r="S623" i="1" s="1"/>
  <c r="X623" i="1" s="1"/>
  <c r="Z623" i="1" s="1"/>
  <c r="N613" i="1"/>
  <c r="S613" i="1" s="1"/>
  <c r="P594" i="1"/>
  <c r="R594" i="1" s="1"/>
  <c r="S594" i="1" s="1"/>
  <c r="X594" i="1" s="1"/>
  <c r="Z594" i="1" s="1"/>
  <c r="P713" i="1"/>
  <c r="R713" i="1" s="1"/>
  <c r="S713" i="1" s="1"/>
  <c r="X713" i="1" s="1"/>
  <c r="Z713" i="1" s="1"/>
  <c r="W651" i="1"/>
  <c r="N644" i="1"/>
  <c r="S644" i="1" s="1"/>
  <c r="X644" i="1" s="1"/>
  <c r="Z644" i="1" s="1"/>
  <c r="P589" i="1"/>
  <c r="R589" i="1" s="1"/>
  <c r="N690" i="1"/>
  <c r="S690" i="1" s="1"/>
  <c r="N728" i="1"/>
  <c r="S728" i="1" s="1"/>
  <c r="X728" i="1" s="1"/>
  <c r="Z728" i="1" s="1"/>
  <c r="N590" i="1"/>
  <c r="P666" i="1"/>
  <c r="R666" i="1" s="1"/>
  <c r="N697" i="1"/>
  <c r="S697" i="1" s="1"/>
  <c r="X697" i="1" s="1"/>
  <c r="Z697" i="1" s="1"/>
  <c r="N596" i="1"/>
  <c r="N591" i="1"/>
  <c r="S591" i="1" s="1"/>
  <c r="N585" i="1"/>
  <c r="S585" i="1" s="1"/>
  <c r="X585" i="1" s="1"/>
  <c r="Z585" i="1" s="1"/>
  <c r="N604" i="1"/>
  <c r="S604" i="1" s="1"/>
  <c r="X604" i="1" s="1"/>
  <c r="Z604" i="1" s="1"/>
  <c r="N579" i="1"/>
  <c r="S579" i="1" s="1"/>
  <c r="X579" i="1" s="1"/>
  <c r="Z579" i="1" s="1"/>
  <c r="N537" i="1"/>
  <c r="S537" i="1" s="1"/>
  <c r="W537" i="1"/>
  <c r="P646" i="1"/>
  <c r="R646" i="1" s="1"/>
  <c r="P581" i="1"/>
  <c r="R581" i="1" s="1"/>
  <c r="S581" i="1" s="1"/>
  <c r="N714" i="1"/>
  <c r="X702" i="1"/>
  <c r="Z702" i="1" s="1"/>
  <c r="N683" i="1"/>
  <c r="S683" i="1" s="1"/>
  <c r="X683" i="1" s="1"/>
  <c r="Z683" i="1" s="1"/>
  <c r="N624" i="1"/>
  <c r="S624" i="1" s="1"/>
  <c r="X624" i="1" s="1"/>
  <c r="Z624" i="1" s="1"/>
  <c r="P648" i="1"/>
  <c r="R648" i="1" s="1"/>
  <c r="P566" i="1"/>
  <c r="R566" i="1" s="1"/>
  <c r="W718" i="1"/>
  <c r="X678" i="1"/>
  <c r="Z678" i="1" s="1"/>
  <c r="P606" i="1"/>
  <c r="R606" i="1" s="1"/>
  <c r="S606" i="1" s="1"/>
  <c r="W578" i="1"/>
  <c r="S569" i="1"/>
  <c r="P650" i="1"/>
  <c r="R650" i="1" s="1"/>
  <c r="W606" i="1"/>
  <c r="W677" i="1"/>
  <c r="W681" i="1"/>
  <c r="W574" i="1"/>
  <c r="N574" i="1"/>
  <c r="W545" i="1"/>
  <c r="N545" i="1"/>
  <c r="P545" i="1"/>
  <c r="R545" i="1" s="1"/>
  <c r="N568" i="1"/>
  <c r="W568" i="1"/>
  <c r="X726" i="1"/>
  <c r="Z726" i="1" s="1"/>
  <c r="S554" i="1"/>
  <c r="P691" i="1"/>
  <c r="R691" i="1" s="1"/>
  <c r="N488" i="1"/>
  <c r="W488" i="1"/>
  <c r="W736" i="1"/>
  <c r="X736" i="1" s="1"/>
  <c r="Z736" i="1" s="1"/>
  <c r="P489" i="1"/>
  <c r="R489" i="1" s="1"/>
  <c r="W712" i="1"/>
  <c r="P575" i="1"/>
  <c r="R575" i="1" s="1"/>
  <c r="P509" i="1"/>
  <c r="R509" i="1" s="1"/>
  <c r="N529" i="1"/>
  <c r="W529" i="1"/>
  <c r="P529" i="1"/>
  <c r="R529" i="1" s="1"/>
  <c r="W539" i="1"/>
  <c r="N539" i="1"/>
  <c r="N479" i="1"/>
  <c r="W479" i="1"/>
  <c r="W565" i="1"/>
  <c r="N565" i="1"/>
  <c r="W691" i="1"/>
  <c r="N691" i="1"/>
  <c r="P661" i="1"/>
  <c r="R661" i="1" s="1"/>
  <c r="N620" i="1"/>
  <c r="W620" i="1"/>
  <c r="P578" i="1"/>
  <c r="R578" i="1" s="1"/>
  <c r="S578" i="1" s="1"/>
  <c r="X685" i="1"/>
  <c r="Z685" i="1" s="1"/>
  <c r="N664" i="1"/>
  <c r="W664" i="1"/>
  <c r="P616" i="1"/>
  <c r="R616" i="1" s="1"/>
  <c r="P605" i="1"/>
  <c r="R605" i="1" s="1"/>
  <c r="S605" i="1" s="1"/>
  <c r="X605" i="1" s="1"/>
  <c r="Z605" i="1" s="1"/>
  <c r="P667" i="1"/>
  <c r="R667" i="1" s="1"/>
  <c r="X737" i="1"/>
  <c r="Z737" i="1" s="1"/>
  <c r="N695" i="1"/>
  <c r="W695" i="1"/>
  <c r="P717" i="1"/>
  <c r="R717" i="1" s="1"/>
  <c r="S717" i="1" s="1"/>
  <c r="X717" i="1" s="1"/>
  <c r="Z717" i="1" s="1"/>
  <c r="W699" i="1"/>
  <c r="N699" i="1"/>
  <c r="S699" i="1" s="1"/>
  <c r="P627" i="1"/>
  <c r="R627" i="1" s="1"/>
  <c r="P550" i="1"/>
  <c r="R550" i="1" s="1"/>
  <c r="S550" i="1" s="1"/>
  <c r="P729" i="1"/>
  <c r="R729" i="1" s="1"/>
  <c r="N693" i="1"/>
  <c r="S693" i="1" s="1"/>
  <c r="X693" i="1" s="1"/>
  <c r="Z693" i="1" s="1"/>
  <c r="P645" i="1"/>
  <c r="R645" i="1" s="1"/>
  <c r="N622" i="1"/>
  <c r="S622" i="1" s="1"/>
  <c r="S724" i="1"/>
  <c r="X724" i="1" s="1"/>
  <c r="Z724" i="1" s="1"/>
  <c r="P712" i="1"/>
  <c r="R712" i="1" s="1"/>
  <c r="S712" i="1" s="1"/>
  <c r="X613" i="1"/>
  <c r="Z613" i="1" s="1"/>
  <c r="P706" i="1"/>
  <c r="R706" i="1" s="1"/>
  <c r="N707" i="1"/>
  <c r="W707" i="1"/>
  <c r="P615" i="1"/>
  <c r="R615" i="1" s="1"/>
  <c r="P617" i="1"/>
  <c r="R617" i="1" s="1"/>
  <c r="S617" i="1" s="1"/>
  <c r="N566" i="1"/>
  <c r="S566" i="1" s="1"/>
  <c r="X709" i="1"/>
  <c r="Z709" i="1" s="1"/>
  <c r="P707" i="1"/>
  <c r="R707" i="1" s="1"/>
  <c r="W602" i="1"/>
  <c r="W550" i="1"/>
  <c r="P659" i="1"/>
  <c r="R659" i="1" s="1"/>
  <c r="N611" i="1"/>
  <c r="S611" i="1" s="1"/>
  <c r="W611" i="1"/>
  <c r="P696" i="1"/>
  <c r="R696" i="1" s="1"/>
  <c r="S696" i="1" s="1"/>
  <c r="W676" i="1"/>
  <c r="N676" i="1"/>
  <c r="S676" i="1" s="1"/>
  <c r="W597" i="1"/>
  <c r="P740" i="1"/>
  <c r="R740" i="1" s="1"/>
  <c r="P677" i="1"/>
  <c r="R677" i="1" s="1"/>
  <c r="S677" i="1" s="1"/>
  <c r="W690" i="1"/>
  <c r="W617" i="1"/>
  <c r="X719" i="1"/>
  <c r="Z719" i="1" s="1"/>
  <c r="P599" i="1"/>
  <c r="R599" i="1" s="1"/>
  <c r="W583" i="1"/>
  <c r="N583" i="1"/>
  <c r="S583" i="1" s="1"/>
  <c r="W509" i="1"/>
  <c r="N509" i="1"/>
  <c r="S489" i="1"/>
  <c r="N481" i="1"/>
  <c r="P481" i="1"/>
  <c r="R481" i="1" s="1"/>
  <c r="W708" i="1"/>
  <c r="P542" i="1"/>
  <c r="R542" i="1" s="1"/>
  <c r="S542" i="1" s="1"/>
  <c r="W711" i="1"/>
  <c r="X711" i="1" s="1"/>
  <c r="Z711" i="1" s="1"/>
  <c r="P516" i="1"/>
  <c r="R516" i="1" s="1"/>
  <c r="W632" i="1"/>
  <c r="W489" i="1"/>
  <c r="N515" i="1"/>
  <c r="W515" i="1"/>
  <c r="W669" i="1"/>
  <c r="W696" i="1"/>
  <c r="N727" i="1"/>
  <c r="S727" i="1" s="1"/>
  <c r="X727" i="1" s="1"/>
  <c r="Z727" i="1" s="1"/>
  <c r="N607" i="1"/>
  <c r="S607" i="1" s="1"/>
  <c r="X607" i="1" s="1"/>
  <c r="Z607" i="1" s="1"/>
  <c r="W576" i="1"/>
  <c r="N576" i="1"/>
  <c r="W559" i="1"/>
  <c r="N559" i="1"/>
  <c r="S559" i="1" s="1"/>
  <c r="N553" i="1"/>
  <c r="W553" i="1"/>
  <c r="N732" i="1"/>
  <c r="W732" i="1"/>
  <c r="W687" i="1"/>
  <c r="N687" i="1"/>
  <c r="S687" i="1" s="1"/>
  <c r="P586" i="1"/>
  <c r="R586" i="1" s="1"/>
  <c r="S586" i="1" s="1"/>
  <c r="X586" i="1" s="1"/>
  <c r="Z586" i="1" s="1"/>
  <c r="N609" i="1"/>
  <c r="S609" i="1" s="1"/>
  <c r="X609" i="1" s="1"/>
  <c r="Z609" i="1" s="1"/>
  <c r="N597" i="1"/>
  <c r="S597" i="1" s="1"/>
  <c r="P664" i="1"/>
  <c r="R664" i="1" s="1"/>
  <c r="S675" i="1"/>
  <c r="N639" i="1"/>
  <c r="S639" i="1" s="1"/>
  <c r="X639" i="1" s="1"/>
  <c r="Z639" i="1" s="1"/>
  <c r="P695" i="1"/>
  <c r="R695" i="1" s="1"/>
  <c r="N637" i="1"/>
  <c r="S637" i="1" s="1"/>
  <c r="X637" i="1" s="1"/>
  <c r="Z637" i="1" s="1"/>
  <c r="N621" i="1"/>
  <c r="S621" i="1" s="1"/>
  <c r="X621" i="1" s="1"/>
  <c r="Z621" i="1" s="1"/>
  <c r="N682" i="1"/>
  <c r="W682" i="1"/>
  <c r="P635" i="1"/>
  <c r="R635" i="1" s="1"/>
  <c r="S635" i="1" s="1"/>
  <c r="N582" i="1"/>
  <c r="S582" i="1" s="1"/>
  <c r="X582" i="1" s="1"/>
  <c r="Z582" i="1" s="1"/>
  <c r="N669" i="1"/>
  <c r="S669" i="1" s="1"/>
  <c r="N626" i="1"/>
  <c r="S626" i="1" s="1"/>
  <c r="X626" i="1" s="1"/>
  <c r="Z626" i="1" s="1"/>
  <c r="W619" i="1"/>
  <c r="N619" i="1"/>
  <c r="S619" i="1" s="1"/>
  <c r="N740" i="1"/>
  <c r="W740" i="1"/>
  <c r="N694" i="1"/>
  <c r="S694" i="1" s="1"/>
  <c r="X694" i="1" s="1"/>
  <c r="Z694" i="1" s="1"/>
  <c r="N662" i="1"/>
  <c r="S662" i="1" s="1"/>
  <c r="X662" i="1" s="1"/>
  <c r="Z662" i="1" s="1"/>
  <c r="N729" i="1"/>
  <c r="S729" i="1" s="1"/>
  <c r="X729" i="1" s="1"/>
  <c r="Z729" i="1" s="1"/>
  <c r="W588" i="1"/>
  <c r="N588" i="1"/>
  <c r="S588" i="1" s="1"/>
  <c r="X566" i="1"/>
  <c r="Z566" i="1" s="1"/>
  <c r="W716" i="1"/>
  <c r="N716" i="1"/>
  <c r="S716" i="1" s="1"/>
  <c r="N706" i="1"/>
  <c r="P628" i="1"/>
  <c r="R628" i="1" s="1"/>
  <c r="W575" i="1"/>
  <c r="N575" i="1"/>
  <c r="S575" i="1" s="1"/>
  <c r="P565" i="1"/>
  <c r="R565" i="1" s="1"/>
  <c r="W540" i="1"/>
  <c r="N540" i="1"/>
  <c r="N704" i="1"/>
  <c r="S704" i="1" s="1"/>
  <c r="X704" i="1" s="1"/>
  <c r="Z704" i="1" s="1"/>
  <c r="N700" i="1"/>
  <c r="S700" i="1" s="1"/>
  <c r="X700" i="1" s="1"/>
  <c r="Z700" i="1" s="1"/>
  <c r="P672" i="1"/>
  <c r="R672" i="1" s="1"/>
  <c r="N592" i="1"/>
  <c r="S592" i="1" s="1"/>
  <c r="X592" i="1" s="1"/>
  <c r="Z592" i="1" s="1"/>
  <c r="N643" i="1"/>
  <c r="W643" i="1"/>
  <c r="N629" i="1"/>
  <c r="S629" i="1" s="1"/>
  <c r="W629" i="1"/>
  <c r="W622" i="1"/>
  <c r="P732" i="1"/>
  <c r="R732" i="1" s="1"/>
  <c r="P610" i="1"/>
  <c r="R610" i="1" s="1"/>
  <c r="W618" i="1"/>
  <c r="X618" i="1" s="1"/>
  <c r="Z618" i="1" s="1"/>
  <c r="W573" i="1"/>
  <c r="N573" i="1"/>
  <c r="S573" i="1" s="1"/>
  <c r="N734" i="1"/>
  <c r="S734" i="1" s="1"/>
  <c r="W641" i="1"/>
  <c r="X641" i="1" s="1"/>
  <c r="Z641" i="1" s="1"/>
  <c r="P688" i="1"/>
  <c r="R688" i="1" s="1"/>
  <c r="S688" i="1" s="1"/>
  <c r="W673" i="1"/>
  <c r="P584" i="1"/>
  <c r="R584" i="1" s="1"/>
  <c r="W723" i="1"/>
  <c r="N723" i="1"/>
  <c r="S723" i="1" s="1"/>
  <c r="P631" i="1"/>
  <c r="R631" i="1" s="1"/>
  <c r="S564" i="1"/>
  <c r="X564" i="1" s="1"/>
  <c r="Z564" i="1" s="1"/>
  <c r="W591" i="1"/>
  <c r="X591" i="1" s="1"/>
  <c r="Z591" i="1" s="1"/>
  <c r="S477" i="1"/>
  <c r="W569" i="1"/>
  <c r="X569" i="1" s="1"/>
  <c r="Z569" i="1" s="1"/>
  <c r="P553" i="1"/>
  <c r="R553" i="1" s="1"/>
  <c r="N532" i="1"/>
  <c r="S532" i="1" s="1"/>
  <c r="W532" i="1"/>
  <c r="N528" i="1"/>
  <c r="S528" i="1" s="1"/>
  <c r="N498" i="1"/>
  <c r="S498" i="1" s="1"/>
  <c r="N516" i="1"/>
  <c r="S516" i="1" s="1"/>
  <c r="W516" i="1"/>
  <c r="W663" i="1"/>
  <c r="X663" i="1" s="1"/>
  <c r="Z663" i="1" s="1"/>
  <c r="W688" i="1"/>
  <c r="W587" i="1"/>
  <c r="W480" i="1"/>
  <c r="N480" i="1"/>
  <c r="W734" i="1"/>
  <c r="W675" i="1"/>
  <c r="P500" i="1"/>
  <c r="R500" i="1" s="1"/>
  <c r="S500" i="1" s="1"/>
  <c r="P643" i="1"/>
  <c r="R643" i="1" s="1"/>
  <c r="P574" i="1"/>
  <c r="R574" i="1" s="1"/>
  <c r="W703" i="1"/>
  <c r="X703" i="1" s="1"/>
  <c r="Z703" i="1" s="1"/>
  <c r="S514" i="1"/>
  <c r="X514" i="1" s="1"/>
  <c r="Z514" i="1" s="1"/>
  <c r="P571" i="1"/>
  <c r="R571" i="1" s="1"/>
  <c r="S503" i="1"/>
  <c r="X503" i="1" s="1"/>
  <c r="Z503" i="1" s="1"/>
  <c r="S518" i="1"/>
  <c r="P557" i="1"/>
  <c r="R557" i="1" s="1"/>
  <c r="S557" i="1" s="1"/>
  <c r="P556" i="1"/>
  <c r="R556" i="1" s="1"/>
  <c r="W544" i="1"/>
  <c r="N544" i="1"/>
  <c r="S544" i="1" s="1"/>
  <c r="P490" i="1"/>
  <c r="R490" i="1" s="1"/>
  <c r="S490" i="1" s="1"/>
  <c r="X490" i="1" s="1"/>
  <c r="Z490" i="1" s="1"/>
  <c r="N495" i="1"/>
  <c r="P548" i="1"/>
  <c r="R548" i="1" s="1"/>
  <c r="S548" i="1" s="1"/>
  <c r="P568" i="1"/>
  <c r="R568" i="1" s="1"/>
  <c r="N444" i="1"/>
  <c r="W444" i="1"/>
  <c r="N403" i="1"/>
  <c r="W403" i="1"/>
  <c r="P452" i="1"/>
  <c r="R452" i="1" s="1"/>
  <c r="P484" i="1"/>
  <c r="R484" i="1" s="1"/>
  <c r="N531" i="1"/>
  <c r="P447" i="1"/>
  <c r="R447" i="1" s="1"/>
  <c r="S447" i="1" s="1"/>
  <c r="W483" i="1"/>
  <c r="N483" i="1"/>
  <c r="S483" i="1" s="1"/>
  <c r="S522" i="1"/>
  <c r="X522" i="1" s="1"/>
  <c r="Z522" i="1" s="1"/>
  <c r="N435" i="1"/>
  <c r="S435" i="1" s="1"/>
  <c r="W435" i="1"/>
  <c r="N413" i="1"/>
  <c r="W413" i="1"/>
  <c r="P413" i="1"/>
  <c r="R413" i="1" s="1"/>
  <c r="W391" i="1"/>
  <c r="N391" i="1"/>
  <c r="W471" i="1"/>
  <c r="N471" i="1"/>
  <c r="P476" i="1"/>
  <c r="R476" i="1" s="1"/>
  <c r="W563" i="1"/>
  <c r="N461" i="1"/>
  <c r="W461" i="1"/>
  <c r="W549" i="1"/>
  <c r="W485" i="1"/>
  <c r="W446" i="1"/>
  <c r="N446" i="1"/>
  <c r="P679" i="1"/>
  <c r="R679" i="1" s="1"/>
  <c r="S679" i="1" s="1"/>
  <c r="P576" i="1"/>
  <c r="R576" i="1" s="1"/>
  <c r="S547" i="1"/>
  <c r="X547" i="1" s="1"/>
  <c r="Z547" i="1" s="1"/>
  <c r="W493" i="1"/>
  <c r="N493" i="1"/>
  <c r="N504" i="1"/>
  <c r="W504" i="1"/>
  <c r="S511" i="1"/>
  <c r="X511" i="1" s="1"/>
  <c r="Z511" i="1" s="1"/>
  <c r="P480" i="1"/>
  <c r="R480" i="1" s="1"/>
  <c r="P486" i="1"/>
  <c r="R486" i="1" s="1"/>
  <c r="S486" i="1" s="1"/>
  <c r="N556" i="1"/>
  <c r="N535" i="1"/>
  <c r="S535" i="1" s="1"/>
  <c r="W535" i="1"/>
  <c r="X505" i="1"/>
  <c r="Z505" i="1" s="1"/>
  <c r="W498" i="1"/>
  <c r="X498" i="1" s="1"/>
  <c r="Z498" i="1" s="1"/>
  <c r="N473" i="1"/>
  <c r="W473" i="1"/>
  <c r="P473" i="1"/>
  <c r="R473" i="1" s="1"/>
  <c r="W554" i="1"/>
  <c r="X554" i="1" s="1"/>
  <c r="Z554" i="1" s="1"/>
  <c r="X510" i="1"/>
  <c r="Z510" i="1" s="1"/>
  <c r="W640" i="1"/>
  <c r="N508" i="1"/>
  <c r="W508" i="1"/>
  <c r="P539" i="1"/>
  <c r="R539" i="1" s="1"/>
  <c r="N512" i="1"/>
  <c r="W512" i="1"/>
  <c r="N527" i="1"/>
  <c r="S527" i="1" s="1"/>
  <c r="W527" i="1"/>
  <c r="P492" i="1"/>
  <c r="R492" i="1" s="1"/>
  <c r="N468" i="1"/>
  <c r="W468" i="1"/>
  <c r="N407" i="1"/>
  <c r="W407" i="1"/>
  <c r="W395" i="1"/>
  <c r="N395" i="1"/>
  <c r="W543" i="1"/>
  <c r="N543" i="1"/>
  <c r="S543" i="1" s="1"/>
  <c r="P507" i="1"/>
  <c r="R507" i="1" s="1"/>
  <c r="W477" i="1"/>
  <c r="P531" i="1"/>
  <c r="R531" i="1" s="1"/>
  <c r="AA392" i="1"/>
  <c r="N448" i="1"/>
  <c r="W467" i="1"/>
  <c r="N467" i="1"/>
  <c r="P520" i="1"/>
  <c r="R520" i="1" s="1"/>
  <c r="P427" i="1"/>
  <c r="R427" i="1" s="1"/>
  <c r="P474" i="1"/>
  <c r="R474" i="1" s="1"/>
  <c r="W499" i="1"/>
  <c r="W396" i="1"/>
  <c r="N396" i="1"/>
  <c r="W478" i="1"/>
  <c r="N478" i="1"/>
  <c r="S478" i="1" s="1"/>
  <c r="AA408" i="1"/>
  <c r="W557" i="1"/>
  <c r="P443" i="1"/>
  <c r="R443" i="1" s="1"/>
  <c r="W518" i="1"/>
  <c r="W419" i="1"/>
  <c r="N419" i="1"/>
  <c r="S419" i="1" s="1"/>
  <c r="N377" i="1"/>
  <c r="W377" i="1"/>
  <c r="P540" i="1"/>
  <c r="R540" i="1" s="1"/>
  <c r="N523" i="1"/>
  <c r="S523" i="1" s="1"/>
  <c r="X523" i="1" s="1"/>
  <c r="Z523" i="1" s="1"/>
  <c r="N476" i="1"/>
  <c r="S476" i="1" s="1"/>
  <c r="W476" i="1"/>
  <c r="N567" i="1"/>
  <c r="S567" i="1" s="1"/>
  <c r="X567" i="1" s="1"/>
  <c r="Z567" i="1" s="1"/>
  <c r="N470" i="1"/>
  <c r="S470" i="1" s="1"/>
  <c r="X470" i="1" s="1"/>
  <c r="Z470" i="1" s="1"/>
  <c r="P533" i="1"/>
  <c r="R533" i="1" s="1"/>
  <c r="P524" i="1"/>
  <c r="R524" i="1" s="1"/>
  <c r="S524" i="1" s="1"/>
  <c r="W519" i="1"/>
  <c r="N519" i="1"/>
  <c r="P479" i="1"/>
  <c r="R479" i="1" s="1"/>
  <c r="N558" i="1"/>
  <c r="S558" i="1" s="1"/>
  <c r="X558" i="1" s="1"/>
  <c r="Z558" i="1" s="1"/>
  <c r="P499" i="1"/>
  <c r="R499" i="1" s="1"/>
  <c r="S499" i="1" s="1"/>
  <c r="N494" i="1"/>
  <c r="S494" i="1" s="1"/>
  <c r="X494" i="1" s="1"/>
  <c r="Z494" i="1" s="1"/>
  <c r="W542" i="1"/>
  <c r="P493" i="1"/>
  <c r="R493" i="1" s="1"/>
  <c r="W486" i="1"/>
  <c r="P504" i="1"/>
  <c r="R504" i="1" s="1"/>
  <c r="N492" i="1"/>
  <c r="S492" i="1" s="1"/>
  <c r="X492" i="1" s="1"/>
  <c r="Z492" i="1" s="1"/>
  <c r="W561" i="1"/>
  <c r="N455" i="1"/>
  <c r="W455" i="1"/>
  <c r="S452" i="1"/>
  <c r="W427" i="1"/>
  <c r="N427" i="1"/>
  <c r="W513" i="1"/>
  <c r="P515" i="1"/>
  <c r="R515" i="1" s="1"/>
  <c r="W496" i="1"/>
  <c r="P459" i="1"/>
  <c r="R459" i="1" s="1"/>
  <c r="S459" i="1" s="1"/>
  <c r="N411" i="1"/>
  <c r="W411" i="1"/>
  <c r="S412" i="1"/>
  <c r="X412" i="1" s="1"/>
  <c r="Z412" i="1" s="1"/>
  <c r="P472" i="1"/>
  <c r="R472" i="1" s="1"/>
  <c r="N472" i="1"/>
  <c r="N551" i="1"/>
  <c r="S551" i="1" s="1"/>
  <c r="X551" i="1" s="1"/>
  <c r="Z551" i="1" s="1"/>
  <c r="W452" i="1"/>
  <c r="X436" i="1"/>
  <c r="Z436" i="1" s="1"/>
  <c r="P416" i="1"/>
  <c r="R416" i="1" s="1"/>
  <c r="N416" i="1"/>
  <c r="S437" i="1"/>
  <c r="P448" i="1"/>
  <c r="R448" i="1" s="1"/>
  <c r="P431" i="1"/>
  <c r="R431" i="1" s="1"/>
  <c r="S431" i="1" s="1"/>
  <c r="P560" i="1"/>
  <c r="R560" i="1" s="1"/>
  <c r="N464" i="1"/>
  <c r="S464" i="1" s="1"/>
  <c r="W464" i="1"/>
  <c r="N399" i="1"/>
  <c r="W399" i="1"/>
  <c r="P395" i="1"/>
  <c r="R395" i="1" s="1"/>
  <c r="P512" i="1"/>
  <c r="R512" i="1" s="1"/>
  <c r="W548" i="1"/>
  <c r="W458" i="1"/>
  <c r="N458" i="1"/>
  <c r="W465" i="1"/>
  <c r="N465" i="1"/>
  <c r="S465" i="1" s="1"/>
  <c r="W500" i="1"/>
  <c r="W562" i="1"/>
  <c r="W447" i="1"/>
  <c r="W431" i="1"/>
  <c r="R521" i="1"/>
  <c r="W560" i="1"/>
  <c r="N560" i="1"/>
  <c r="N521" i="1"/>
  <c r="W521" i="1"/>
  <c r="N482" i="1"/>
  <c r="S482" i="1" s="1"/>
  <c r="X482" i="1" s="1"/>
  <c r="Z482" i="1" s="1"/>
  <c r="P497" i="1"/>
  <c r="R497" i="1" s="1"/>
  <c r="S497" i="1" s="1"/>
  <c r="P517" i="1"/>
  <c r="R517" i="1" s="1"/>
  <c r="S517" i="1" s="1"/>
  <c r="X517" i="1" s="1"/>
  <c r="Z517" i="1" s="1"/>
  <c r="X526" i="1"/>
  <c r="Z526" i="1" s="1"/>
  <c r="P534" i="1"/>
  <c r="R534" i="1" s="1"/>
  <c r="S534" i="1" s="1"/>
  <c r="X534" i="1" s="1"/>
  <c r="Z534" i="1" s="1"/>
  <c r="P549" i="1"/>
  <c r="R549" i="1" s="1"/>
  <c r="S549" i="1" s="1"/>
  <c r="N520" i="1"/>
  <c r="W520" i="1"/>
  <c r="N484" i="1"/>
  <c r="S484" i="1" s="1"/>
  <c r="W484" i="1"/>
  <c r="P541" i="1"/>
  <c r="R541" i="1" s="1"/>
  <c r="P495" i="1"/>
  <c r="R495" i="1" s="1"/>
  <c r="W491" i="1"/>
  <c r="N491" i="1"/>
  <c r="N487" i="1"/>
  <c r="S487" i="1" s="1"/>
  <c r="X487" i="1" s="1"/>
  <c r="Z487" i="1" s="1"/>
  <c r="P563" i="1"/>
  <c r="R563" i="1" s="1"/>
  <c r="S563" i="1" s="1"/>
  <c r="W577" i="1"/>
  <c r="P561" i="1"/>
  <c r="R561" i="1" s="1"/>
  <c r="S561" i="1" s="1"/>
  <c r="P403" i="1"/>
  <c r="R403" i="1" s="1"/>
  <c r="W497" i="1"/>
  <c r="R496" i="1"/>
  <c r="S496" i="1" s="1"/>
  <c r="P508" i="1"/>
  <c r="R508" i="1" s="1"/>
  <c r="W474" i="1"/>
  <c r="N474" i="1"/>
  <c r="S474" i="1" s="1"/>
  <c r="P562" i="1"/>
  <c r="R562" i="1" s="1"/>
  <c r="S562" i="1" s="1"/>
  <c r="N439" i="1"/>
  <c r="P439" i="1"/>
  <c r="R439" i="1" s="1"/>
  <c r="P519" i="1"/>
  <c r="R519" i="1" s="1"/>
  <c r="P488" i="1"/>
  <c r="R488" i="1" s="1"/>
  <c r="W472" i="1"/>
  <c r="W443" i="1"/>
  <c r="N443" i="1"/>
  <c r="S443" i="1" s="1"/>
  <c r="W432" i="1"/>
  <c r="N432" i="1"/>
  <c r="N536" i="1"/>
  <c r="S536" i="1" s="1"/>
  <c r="W536" i="1"/>
  <c r="P491" i="1"/>
  <c r="R491" i="1" s="1"/>
  <c r="W524" i="1"/>
  <c r="N485" i="1"/>
  <c r="S485" i="1" s="1"/>
  <c r="P468" i="1"/>
  <c r="R468" i="1" s="1"/>
  <c r="P471" i="1"/>
  <c r="R471" i="1" s="1"/>
  <c r="P446" i="1"/>
  <c r="R446" i="1" s="1"/>
  <c r="AA460" i="1"/>
  <c r="W528" i="1"/>
  <c r="X528" i="1" s="1"/>
  <c r="Z528" i="1" s="1"/>
  <c r="W481" i="1"/>
  <c r="W393" i="1"/>
  <c r="N393" i="1"/>
  <c r="S393" i="1" s="1"/>
  <c r="P456" i="1"/>
  <c r="R456" i="1" s="1"/>
  <c r="S456" i="1" s="1"/>
  <c r="X456" i="1" s="1"/>
  <c r="Z456" i="1" s="1"/>
  <c r="P444" i="1"/>
  <c r="R444" i="1" s="1"/>
  <c r="S405" i="1"/>
  <c r="X405" i="1" s="1"/>
  <c r="Z405" i="1" s="1"/>
  <c r="W59" i="1"/>
  <c r="N59" i="1"/>
  <c r="N420" i="1"/>
  <c r="P396" i="1"/>
  <c r="R396" i="1" s="1"/>
  <c r="P475" i="1"/>
  <c r="R475" i="1" s="1"/>
  <c r="S475" i="1" s="1"/>
  <c r="X475" i="1" s="1"/>
  <c r="Z475" i="1" s="1"/>
  <c r="P450" i="1"/>
  <c r="R450" i="1" s="1"/>
  <c r="S450" i="1" s="1"/>
  <c r="X440" i="1"/>
  <c r="Z440" i="1" s="1"/>
  <c r="N433" i="1"/>
  <c r="P458" i="1"/>
  <c r="R458" i="1" s="1"/>
  <c r="W415" i="1"/>
  <c r="N415" i="1"/>
  <c r="S415" i="1" s="1"/>
  <c r="N381" i="1"/>
  <c r="W381" i="1"/>
  <c r="P467" i="1"/>
  <c r="R467" i="1" s="1"/>
  <c r="P54" i="1"/>
  <c r="S409" i="1"/>
  <c r="X409" i="1" s="1"/>
  <c r="Z409" i="1" s="1"/>
  <c r="W57" i="1"/>
  <c r="N57" i="1"/>
  <c r="P421" i="1"/>
  <c r="R421" i="1" s="1"/>
  <c r="W394" i="1"/>
  <c r="N394" i="1"/>
  <c r="W454" i="1"/>
  <c r="X441" i="1"/>
  <c r="Z441" i="1" s="1"/>
  <c r="S401" i="1"/>
  <c r="X401" i="1" s="1"/>
  <c r="Z401" i="1" s="1"/>
  <c r="N382" i="1"/>
  <c r="W382" i="1"/>
  <c r="P40" i="1"/>
  <c r="W67" i="1"/>
  <c r="P67" i="1"/>
  <c r="N67" i="1"/>
  <c r="P49" i="1"/>
  <c r="P388" i="1"/>
  <c r="R388" i="1" s="1"/>
  <c r="S388" i="1" s="1"/>
  <c r="N84" i="1"/>
  <c r="W84" i="1"/>
  <c r="W94" i="1"/>
  <c r="N94" i="1"/>
  <c r="N91" i="1"/>
  <c r="W91" i="1"/>
  <c r="W112" i="1"/>
  <c r="W56" i="1"/>
  <c r="P41" i="1"/>
  <c r="P78" i="1"/>
  <c r="P92" i="1"/>
  <c r="N109" i="1"/>
  <c r="W109" i="1"/>
  <c r="W466" i="1"/>
  <c r="W410" i="1"/>
  <c r="W445" i="1"/>
  <c r="W462" i="1"/>
  <c r="P381" i="1"/>
  <c r="R381" i="1" s="1"/>
  <c r="P79" i="1"/>
  <c r="P89" i="1"/>
  <c r="N85" i="1"/>
  <c r="W142" i="1"/>
  <c r="N142" i="1"/>
  <c r="P100" i="1"/>
  <c r="P72" i="1"/>
  <c r="P95" i="1"/>
  <c r="P84" i="1"/>
  <c r="W72" i="1"/>
  <c r="W99" i="1"/>
  <c r="W68" i="1"/>
  <c r="W75" i="1"/>
  <c r="W69" i="1"/>
  <c r="W117" i="1"/>
  <c r="N117" i="1"/>
  <c r="W110" i="1"/>
  <c r="W102" i="1"/>
  <c r="P469" i="1"/>
  <c r="R469" i="1" s="1"/>
  <c r="S469" i="1" s="1"/>
  <c r="X469" i="1" s="1"/>
  <c r="Z469" i="1" s="1"/>
  <c r="P463" i="1"/>
  <c r="R463" i="1" s="1"/>
  <c r="S463" i="1" s="1"/>
  <c r="X463" i="1" s="1"/>
  <c r="Z463" i="1" s="1"/>
  <c r="S423" i="1"/>
  <c r="X423" i="1" s="1"/>
  <c r="Z423" i="1" s="1"/>
  <c r="S552" i="1"/>
  <c r="X552" i="1" s="1"/>
  <c r="Z552" i="1" s="1"/>
  <c r="X404" i="1"/>
  <c r="Z404" i="1" s="1"/>
  <c r="P422" i="1"/>
  <c r="R422" i="1" s="1"/>
  <c r="S422" i="1" s="1"/>
  <c r="P399" i="1"/>
  <c r="R399" i="1" s="1"/>
  <c r="P391" i="1"/>
  <c r="R391" i="1" s="1"/>
  <c r="P445" i="1"/>
  <c r="R445" i="1" s="1"/>
  <c r="S445" i="1" s="1"/>
  <c r="X397" i="1"/>
  <c r="Z397" i="1" s="1"/>
  <c r="N457" i="1"/>
  <c r="S457" i="1" s="1"/>
  <c r="X457" i="1" s="1"/>
  <c r="Z457" i="1" s="1"/>
  <c r="N421" i="1"/>
  <c r="N390" i="1"/>
  <c r="W390" i="1"/>
  <c r="P426" i="1"/>
  <c r="R426" i="1" s="1"/>
  <c r="P377" i="1"/>
  <c r="R377" i="1" s="1"/>
  <c r="W92" i="1"/>
  <c r="N92" i="1"/>
  <c r="P382" i="1"/>
  <c r="R382" i="1" s="1"/>
  <c r="X398" i="1"/>
  <c r="Z398" i="1" s="1"/>
  <c r="P390" i="1"/>
  <c r="R390" i="1" s="1"/>
  <c r="W437" i="1"/>
  <c r="X437" i="1" s="1"/>
  <c r="Z437" i="1" s="1"/>
  <c r="N45" i="1"/>
  <c r="P69" i="1"/>
  <c r="N108" i="1"/>
  <c r="P56" i="1"/>
  <c r="P394" i="1"/>
  <c r="R394" i="1" s="1"/>
  <c r="S48" i="1"/>
  <c r="X48" i="1" s="1"/>
  <c r="Z48" i="1" s="1"/>
  <c r="N83" i="1"/>
  <c r="P83" i="1"/>
  <c r="W83" i="1"/>
  <c r="W406" i="1"/>
  <c r="P57" i="1"/>
  <c r="W86" i="1"/>
  <c r="N73" i="1"/>
  <c r="P73" i="1"/>
  <c r="P62" i="1"/>
  <c r="N62" i="1"/>
  <c r="W434" i="1"/>
  <c r="N81" i="1"/>
  <c r="W88" i="1"/>
  <c r="N88" i="1"/>
  <c r="W73" i="1"/>
  <c r="P97" i="1"/>
  <c r="W77" i="1"/>
  <c r="W39" i="1"/>
  <c r="P70" i="1"/>
  <c r="W70" i="1"/>
  <c r="W104" i="1"/>
  <c r="W81" i="1"/>
  <c r="P455" i="1"/>
  <c r="R455" i="1" s="1"/>
  <c r="P387" i="1"/>
  <c r="R387" i="1" s="1"/>
  <c r="S387" i="1" s="1"/>
  <c r="P432" i="1"/>
  <c r="R432" i="1" s="1"/>
  <c r="N418" i="1"/>
  <c r="S418" i="1" s="1"/>
  <c r="X418" i="1" s="1"/>
  <c r="Z418" i="1" s="1"/>
  <c r="P407" i="1"/>
  <c r="R407" i="1" s="1"/>
  <c r="P411" i="1"/>
  <c r="R411" i="1" s="1"/>
  <c r="P43" i="1"/>
  <c r="P453" i="1"/>
  <c r="R453" i="1" s="1"/>
  <c r="N65" i="1"/>
  <c r="P462" i="1"/>
  <c r="R462" i="1" s="1"/>
  <c r="S462" i="1" s="1"/>
  <c r="P410" i="1"/>
  <c r="R410" i="1" s="1"/>
  <c r="S410" i="1" s="1"/>
  <c r="P461" i="1"/>
  <c r="R461" i="1" s="1"/>
  <c r="N44" i="1"/>
  <c r="X442" i="1"/>
  <c r="Z442" i="1" s="1"/>
  <c r="N426" i="1"/>
  <c r="W43" i="1"/>
  <c r="P384" i="1"/>
  <c r="R384" i="1" s="1"/>
  <c r="W41" i="1"/>
  <c r="N41" i="1"/>
  <c r="W429" i="1"/>
  <c r="P389" i="1"/>
  <c r="R389" i="1" s="1"/>
  <c r="W414" i="1"/>
  <c r="P101" i="1"/>
  <c r="N101" i="1"/>
  <c r="P59" i="1"/>
  <c r="W123" i="1"/>
  <c r="N123" i="1"/>
  <c r="P71" i="1"/>
  <c r="N61" i="1"/>
  <c r="S425" i="1"/>
  <c r="S417" i="1"/>
  <c r="W50" i="1"/>
  <c r="N60" i="1"/>
  <c r="W60" i="1"/>
  <c r="N63" i="1"/>
  <c r="W63" i="1"/>
  <c r="P406" i="1"/>
  <c r="R406" i="1" s="1"/>
  <c r="S406" i="1" s="1"/>
  <c r="N96" i="1"/>
  <c r="W459" i="1"/>
  <c r="P86" i="1"/>
  <c r="W82" i="1"/>
  <c r="N82" i="1"/>
  <c r="P105" i="1"/>
  <c r="W402" i="1"/>
  <c r="X402" i="1" s="1"/>
  <c r="Z402" i="1" s="1"/>
  <c r="W93" i="1"/>
  <c r="N93" i="1"/>
  <c r="P63" i="1"/>
  <c r="P111" i="1"/>
  <c r="W430" i="1"/>
  <c r="W98" i="1"/>
  <c r="W78" i="1"/>
  <c r="W101" i="1"/>
  <c r="P91" i="1"/>
  <c r="W71" i="1"/>
  <c r="P104" i="1"/>
  <c r="W122" i="1"/>
  <c r="N122" i="1"/>
  <c r="W80" i="1"/>
  <c r="W76" i="1"/>
  <c r="W97" i="1"/>
  <c r="R428" i="1"/>
  <c r="S428" i="1" s="1"/>
  <c r="X428" i="1" s="1"/>
  <c r="Z428" i="1" s="1"/>
  <c r="P420" i="1"/>
  <c r="R420" i="1" s="1"/>
  <c r="P433" i="1"/>
  <c r="R433" i="1" s="1"/>
  <c r="P466" i="1"/>
  <c r="R466" i="1" s="1"/>
  <c r="S466" i="1" s="1"/>
  <c r="N424" i="1"/>
  <c r="S424" i="1" s="1"/>
  <c r="X424" i="1" s="1"/>
  <c r="Z424" i="1" s="1"/>
  <c r="N52" i="1"/>
  <c r="S52" i="1" s="1"/>
  <c r="X52" i="1" s="1"/>
  <c r="Z52" i="1" s="1"/>
  <c r="P451" i="1"/>
  <c r="R451" i="1" s="1"/>
  <c r="S451" i="1" s="1"/>
  <c r="N389" i="1"/>
  <c r="W389" i="1"/>
  <c r="N453" i="1"/>
  <c r="W386" i="1"/>
  <c r="N386" i="1"/>
  <c r="S386" i="1" s="1"/>
  <c r="N383" i="1"/>
  <c r="S383" i="1" s="1"/>
  <c r="X383" i="1" s="1"/>
  <c r="Z383" i="1" s="1"/>
  <c r="N384" i="1"/>
  <c r="N40" i="1"/>
  <c r="W87" i="1"/>
  <c r="N87" i="1"/>
  <c r="N99" i="1"/>
  <c r="P99" i="1"/>
  <c r="W107" i="1"/>
  <c r="P107" i="1"/>
  <c r="N107" i="1"/>
  <c r="W49" i="1"/>
  <c r="W387" i="1"/>
  <c r="W450" i="1"/>
  <c r="P414" i="1"/>
  <c r="R414" i="1" s="1"/>
  <c r="S414" i="1" s="1"/>
  <c r="W388" i="1"/>
  <c r="W55" i="1"/>
  <c r="N55" i="1"/>
  <c r="N112" i="1"/>
  <c r="W422" i="1"/>
  <c r="W103" i="1"/>
  <c r="N103" i="1"/>
  <c r="P39" i="1"/>
  <c r="N380" i="1"/>
  <c r="S380" i="1" s="1"/>
  <c r="W380" i="1"/>
  <c r="P90" i="1"/>
  <c r="P430" i="1"/>
  <c r="R430" i="1" s="1"/>
  <c r="S430" i="1" s="1"/>
  <c r="P434" i="1"/>
  <c r="R434" i="1" s="1"/>
  <c r="S434" i="1" s="1"/>
  <c r="W451" i="1"/>
  <c r="P94" i="1"/>
  <c r="W61" i="1"/>
  <c r="W89" i="1"/>
  <c r="W417" i="1"/>
  <c r="W95" i="1"/>
  <c r="N95" i="1"/>
  <c r="P76" i="1"/>
  <c r="P80" i="1"/>
  <c r="W100" i="1"/>
  <c r="W79" i="1"/>
  <c r="P102" i="1"/>
  <c r="N124" i="1"/>
  <c r="W120" i="1"/>
  <c r="N120" i="1"/>
  <c r="W74" i="1"/>
  <c r="W105" i="1"/>
  <c r="W111" i="1"/>
  <c r="W90" i="1"/>
  <c r="P113" i="1"/>
  <c r="P87" i="1"/>
  <c r="N129" i="1"/>
  <c r="S129" i="1" s="1"/>
  <c r="X129" i="1" s="1"/>
  <c r="Z129" i="1" s="1"/>
  <c r="N378" i="1"/>
  <c r="S378" i="1" s="1"/>
  <c r="X378" i="1" s="1"/>
  <c r="Z378" i="1" s="1"/>
  <c r="N135" i="1"/>
  <c r="N130" i="1"/>
  <c r="S130" i="1" s="1"/>
  <c r="X130" i="1" s="1"/>
  <c r="Z130" i="1" s="1"/>
  <c r="P120" i="1"/>
  <c r="N156" i="1"/>
  <c r="N158" i="1"/>
  <c r="N141" i="1"/>
  <c r="W124" i="1"/>
  <c r="N179" i="1"/>
  <c r="W179" i="1"/>
  <c r="N186" i="1"/>
  <c r="W146" i="1"/>
  <c r="P169" i="1"/>
  <c r="W243" i="1"/>
  <c r="N243" i="1"/>
  <c r="W188" i="1"/>
  <c r="N188" i="1"/>
  <c r="W150" i="1"/>
  <c r="N185" i="1"/>
  <c r="W185" i="1"/>
  <c r="P160" i="1"/>
  <c r="N183" i="1"/>
  <c r="W183" i="1"/>
  <c r="W186" i="1"/>
  <c r="W425" i="1"/>
  <c r="X425" i="1" s="1"/>
  <c r="Z425" i="1" s="1"/>
  <c r="P50" i="1"/>
  <c r="N376" i="1"/>
  <c r="S376" i="1" s="1"/>
  <c r="X376" i="1" s="1"/>
  <c r="Z376" i="1" s="1"/>
  <c r="W45" i="1"/>
  <c r="W144" i="1"/>
  <c r="N144" i="1"/>
  <c r="N189" i="1"/>
  <c r="W189" i="1"/>
  <c r="P106" i="1"/>
  <c r="P122" i="1"/>
  <c r="P123" i="1"/>
  <c r="P142" i="1"/>
  <c r="N128" i="1"/>
  <c r="W143" i="1"/>
  <c r="N153" i="1"/>
  <c r="P153" i="1"/>
  <c r="P144" i="1"/>
  <c r="P175" i="1"/>
  <c r="N175" i="1"/>
  <c r="P194" i="1"/>
  <c r="N194" i="1"/>
  <c r="P128" i="1"/>
  <c r="P162" i="1"/>
  <c r="W161" i="1"/>
  <c r="N161" i="1"/>
  <c r="W169" i="1"/>
  <c r="N169" i="1"/>
  <c r="N165" i="1"/>
  <c r="W165" i="1"/>
  <c r="W139" i="1"/>
  <c r="N139" i="1"/>
  <c r="W149" i="1"/>
  <c r="W160" i="1"/>
  <c r="N160" i="1"/>
  <c r="W180" i="1"/>
  <c r="W227" i="1"/>
  <c r="N227" i="1"/>
  <c r="N148" i="1"/>
  <c r="W148" i="1"/>
  <c r="N116" i="1"/>
  <c r="N131" i="1"/>
  <c r="N145" i="1"/>
  <c r="N136" i="1"/>
  <c r="S136" i="1" s="1"/>
  <c r="X136" i="1" s="1"/>
  <c r="Z136" i="1" s="1"/>
  <c r="P189" i="1"/>
  <c r="N133" i="1"/>
  <c r="N106" i="1"/>
  <c r="W140" i="1"/>
  <c r="N140" i="1"/>
  <c r="N154" i="1"/>
  <c r="N121" i="1"/>
  <c r="P143" i="1"/>
  <c r="P146" i="1"/>
  <c r="P149" i="1"/>
  <c r="P152" i="1"/>
  <c r="N152" i="1"/>
  <c r="P173" i="1"/>
  <c r="N173" i="1"/>
  <c r="W168" i="1"/>
  <c r="N168" i="1"/>
  <c r="W159" i="1"/>
  <c r="N159" i="1"/>
  <c r="W151" i="1"/>
  <c r="N151" i="1"/>
  <c r="N171" i="1"/>
  <c r="W171" i="1"/>
  <c r="W167" i="1"/>
  <c r="N167" i="1"/>
  <c r="N155" i="1"/>
  <c r="W155" i="1"/>
  <c r="W199" i="1"/>
  <c r="N199" i="1"/>
  <c r="W147" i="1"/>
  <c r="W187" i="1"/>
  <c r="N187" i="1"/>
  <c r="P88" i="1"/>
  <c r="N379" i="1"/>
  <c r="S379" i="1" s="1"/>
  <c r="X379" i="1" s="1"/>
  <c r="Z379" i="1" s="1"/>
  <c r="P82" i="1"/>
  <c r="S375" i="1"/>
  <c r="X375" i="1" s="1"/>
  <c r="Z375" i="1" s="1"/>
  <c r="P110" i="1"/>
  <c r="N127" i="1"/>
  <c r="P75" i="1"/>
  <c r="P141" i="1"/>
  <c r="N162" i="1"/>
  <c r="W162" i="1"/>
  <c r="N181" i="1"/>
  <c r="W181" i="1"/>
  <c r="P147" i="1"/>
  <c r="P181" i="1"/>
  <c r="N157" i="1"/>
  <c r="W157" i="1"/>
  <c r="W166" i="1"/>
  <c r="P148" i="1"/>
  <c r="N178" i="1"/>
  <c r="W178" i="1"/>
  <c r="W164" i="1"/>
  <c r="N164" i="1"/>
  <c r="W154" i="1"/>
  <c r="P161" i="1"/>
  <c r="P180" i="1"/>
  <c r="N163" i="1"/>
  <c r="P188" i="1"/>
  <c r="N200" i="1"/>
  <c r="N203" i="1"/>
  <c r="N190" i="1"/>
  <c r="P177" i="1"/>
  <c r="W223" i="1"/>
  <c r="N223" i="1"/>
  <c r="W232" i="1"/>
  <c r="N232" i="1"/>
  <c r="P232" i="1"/>
  <c r="W214" i="1"/>
  <c r="N214" i="1"/>
  <c r="N250" i="1"/>
  <c r="W250" i="1"/>
  <c r="P245" i="1"/>
  <c r="P220" i="1"/>
  <c r="P253" i="1"/>
  <c r="N224" i="1"/>
  <c r="W224" i="1"/>
  <c r="P222" i="1"/>
  <c r="N213" i="1"/>
  <c r="W213" i="1"/>
  <c r="P260" i="1"/>
  <c r="W229" i="1"/>
  <c r="W233" i="1"/>
  <c r="W209" i="1"/>
  <c r="W221" i="1"/>
  <c r="W275" i="1"/>
  <c r="N275" i="1"/>
  <c r="P275" i="1"/>
  <c r="W230" i="1"/>
  <c r="P230" i="1"/>
  <c r="N230" i="1"/>
  <c r="P166" i="1"/>
  <c r="P243" i="1"/>
  <c r="P140" i="1"/>
  <c r="P150" i="1"/>
  <c r="N201" i="1"/>
  <c r="P170" i="1"/>
  <c r="P242" i="1"/>
  <c r="N216" i="1"/>
  <c r="N220" i="1"/>
  <c r="W220" i="1"/>
  <c r="W253" i="1"/>
  <c r="N253" i="1"/>
  <c r="N210" i="1"/>
  <c r="P210" i="1"/>
  <c r="P229" i="1"/>
  <c r="P233" i="1"/>
  <c r="W261" i="1"/>
  <c r="P261" i="1"/>
  <c r="N261" i="1"/>
  <c r="P214" i="1"/>
  <c r="W206" i="1"/>
  <c r="N222" i="1"/>
  <c r="W222" i="1"/>
  <c r="W239" i="1"/>
  <c r="W236" i="1"/>
  <c r="N236" i="1"/>
  <c r="W260" i="1"/>
  <c r="W208" i="1"/>
  <c r="P179" i="1"/>
  <c r="P165" i="1"/>
  <c r="P185" i="1"/>
  <c r="P159" i="1"/>
  <c r="P178" i="1"/>
  <c r="N206" i="1"/>
  <c r="P227" i="1"/>
  <c r="N242" i="1"/>
  <c r="W242" i="1"/>
  <c r="N198" i="1"/>
  <c r="N212" i="1"/>
  <c r="N246" i="1"/>
  <c r="P221" i="1"/>
  <c r="N237" i="1"/>
  <c r="W237" i="1"/>
  <c r="P209" i="1"/>
  <c r="P241" i="1"/>
  <c r="P239" i="1"/>
  <c r="W258" i="1"/>
  <c r="N258" i="1"/>
  <c r="N238" i="1"/>
  <c r="P238" i="1"/>
  <c r="P250" i="1"/>
  <c r="W259" i="1"/>
  <c r="N259" i="1"/>
  <c r="P262" i="1"/>
  <c r="P248" i="1"/>
  <c r="N248" i="1"/>
  <c r="N349" i="1"/>
  <c r="W349" i="1"/>
  <c r="N202" i="1"/>
  <c r="P167" i="1"/>
  <c r="N182" i="1"/>
  <c r="N211" i="1"/>
  <c r="P168" i="1"/>
  <c r="P208" i="1"/>
  <c r="P187" i="1"/>
  <c r="P190" i="1"/>
  <c r="N196" i="1"/>
  <c r="W218" i="1"/>
  <c r="N218" i="1"/>
  <c r="W245" i="1"/>
  <c r="N245" i="1"/>
  <c r="W212" i="1"/>
  <c r="W216" i="1"/>
  <c r="X231" i="1"/>
  <c r="Z231" i="1" s="1"/>
  <c r="N252" i="1"/>
  <c r="W252" i="1"/>
  <c r="W235" i="1"/>
  <c r="W228" i="1"/>
  <c r="P265" i="1"/>
  <c r="W265" i="1"/>
  <c r="N217" i="1"/>
  <c r="P247" i="1"/>
  <c r="P254" i="1"/>
  <c r="P259" i="1"/>
  <c r="N256" i="1"/>
  <c r="P249" i="1"/>
  <c r="P268" i="1"/>
  <c r="N284" i="1"/>
  <c r="P281" i="1"/>
  <c r="W254" i="1"/>
  <c r="P263" i="1"/>
  <c r="N257" i="1"/>
  <c r="N249" i="1"/>
  <c r="P255" i="1"/>
  <c r="P272" i="1"/>
  <c r="W264" i="1"/>
  <c r="N264" i="1"/>
  <c r="P267" i="1"/>
  <c r="N279" i="1"/>
  <c r="P279" i="1"/>
  <c r="X371" i="1"/>
  <c r="Z371" i="1" s="1"/>
  <c r="W366" i="1"/>
  <c r="N366" i="1"/>
  <c r="P360" i="1"/>
  <c r="W333" i="1"/>
  <c r="N333" i="1"/>
  <c r="W357" i="1"/>
  <c r="W368" i="1"/>
  <c r="N368" i="1"/>
  <c r="P368" i="1"/>
  <c r="W374" i="1"/>
  <c r="P358" i="1"/>
  <c r="W326" i="1"/>
  <c r="N326" i="1"/>
  <c r="W330" i="1"/>
  <c r="P226" i="1"/>
  <c r="P237" i="1"/>
  <c r="N240" i="1"/>
  <c r="W269" i="1"/>
  <c r="N269" i="1"/>
  <c r="N287" i="1"/>
  <c r="W287" i="1"/>
  <c r="N268" i="1"/>
  <c r="P282" i="1"/>
  <c r="W276" i="1"/>
  <c r="N276" i="1"/>
  <c r="P374" i="1"/>
  <c r="R374" i="1" s="1"/>
  <c r="S374" i="1" s="1"/>
  <c r="W247" i="1"/>
  <c r="W215" i="1"/>
  <c r="W262" i="1"/>
  <c r="P278" i="1"/>
  <c r="W363" i="1"/>
  <c r="N367" i="1"/>
  <c r="P359" i="1"/>
  <c r="P347" i="1"/>
  <c r="P350" i="1"/>
  <c r="W373" i="1"/>
  <c r="W360" i="1"/>
  <c r="W367" i="1"/>
  <c r="W372" i="1"/>
  <c r="W356" i="1"/>
  <c r="P333" i="1"/>
  <c r="N226" i="1"/>
  <c r="P252" i="1"/>
  <c r="W272" i="1"/>
  <c r="N272" i="1"/>
  <c r="P244" i="1"/>
  <c r="P274" i="1"/>
  <c r="P349" i="1"/>
  <c r="P277" i="1"/>
  <c r="W271" i="1"/>
  <c r="N271" i="1"/>
  <c r="W241" i="1"/>
  <c r="W246" i="1"/>
  <c r="P355" i="1"/>
  <c r="W355" i="1"/>
  <c r="N355" i="1"/>
  <c r="W278" i="1"/>
  <c r="N278" i="1"/>
  <c r="P357" i="1"/>
  <c r="W350" i="1"/>
  <c r="N350" i="1"/>
  <c r="N348" i="1"/>
  <c r="P348" i="1"/>
  <c r="W359" i="1"/>
  <c r="W353" i="1"/>
  <c r="N353" i="1"/>
  <c r="W334" i="1"/>
  <c r="N334" i="1"/>
  <c r="N325" i="1"/>
  <c r="P353" i="1"/>
  <c r="W358" i="1"/>
  <c r="W354" i="1"/>
  <c r="P228" i="1"/>
  <c r="N274" i="1"/>
  <c r="W267" i="1"/>
  <c r="N267" i="1"/>
  <c r="W244" i="1"/>
  <c r="N265" i="1"/>
  <c r="P269" i="1"/>
  <c r="N352" i="1"/>
  <c r="W352" i="1"/>
  <c r="P352" i="1"/>
  <c r="P366" i="1"/>
  <c r="N273" i="1"/>
  <c r="W273" i="1"/>
  <c r="W369" i="1"/>
  <c r="W351" i="1"/>
  <c r="N351" i="1"/>
  <c r="P330" i="1"/>
  <c r="W348" i="1"/>
  <c r="W339" i="1"/>
  <c r="W347" i="1"/>
  <c r="N286" i="1"/>
  <c r="P351" i="1"/>
  <c r="N331" i="1"/>
  <c r="P285" i="1"/>
  <c r="N289" i="1"/>
  <c r="N332" i="1"/>
  <c r="P341" i="1"/>
  <c r="P336" i="1"/>
  <c r="W336" i="1"/>
  <c r="W342" i="1"/>
  <c r="W305" i="1"/>
  <c r="N305" i="1"/>
  <c r="P320" i="1"/>
  <c r="W317" i="1"/>
  <c r="W325" i="1"/>
  <c r="P312" i="1"/>
  <c r="W308" i="1"/>
  <c r="P303" i="1"/>
  <c r="W294" i="1"/>
  <c r="W282" i="1"/>
  <c r="N288" i="1"/>
  <c r="W290" i="1"/>
  <c r="N290" i="1"/>
  <c r="P356" i="1"/>
  <c r="P345" i="1"/>
  <c r="R345" i="1" s="1"/>
  <c r="S345" i="1" s="1"/>
  <c r="X345" i="1" s="1"/>
  <c r="Z345" i="1" s="1"/>
  <c r="P339" i="1"/>
  <c r="N329" i="1"/>
  <c r="N323" i="1"/>
  <c r="W323" i="1"/>
  <c r="W319" i="1"/>
  <c r="N319" i="1"/>
  <c r="P322" i="1"/>
  <c r="N316" i="1"/>
  <c r="W316" i="1"/>
  <c r="P314" i="1"/>
  <c r="N313" i="1"/>
  <c r="P313" i="1"/>
  <c r="P311" i="1"/>
  <c r="W322" i="1"/>
  <c r="N303" i="1"/>
  <c r="W303" i="1"/>
  <c r="W297" i="1"/>
  <c r="N297" i="1"/>
  <c r="P297" i="1"/>
  <c r="W307" i="1"/>
  <c r="W279" i="1"/>
  <c r="W306" i="1"/>
  <c r="W299" i="1"/>
  <c r="W281" i="1"/>
  <c r="P326" i="1"/>
  <c r="P337" i="1"/>
  <c r="P327" i="1"/>
  <c r="P324" i="1"/>
  <c r="P308" i="1"/>
  <c r="P317" i="1"/>
  <c r="P305" i="1"/>
  <c r="P319" i="1"/>
  <c r="P306" i="1"/>
  <c r="R306" i="1" s="1"/>
  <c r="S306" i="1" s="1"/>
  <c r="P307" i="1"/>
  <c r="W311" i="1"/>
  <c r="W295" i="1"/>
  <c r="P290" i="1"/>
  <c r="W277" i="1"/>
  <c r="W292" i="1"/>
  <c r="N292" i="1"/>
  <c r="W300" i="1"/>
  <c r="W284" i="1"/>
  <c r="W298" i="1"/>
  <c r="W291" i="1"/>
  <c r="P354" i="1"/>
  <c r="N337" i="1"/>
  <c r="P342" i="1"/>
  <c r="S344" i="1"/>
  <c r="X344" i="1" s="1"/>
  <c r="Z344" i="1" s="1"/>
  <c r="W341" i="1"/>
  <c r="W312" i="1"/>
  <c r="N312" i="1"/>
  <c r="N320" i="1"/>
  <c r="W320" i="1"/>
  <c r="W314" i="1"/>
  <c r="N314" i="1"/>
  <c r="N324" i="1"/>
  <c r="W324" i="1"/>
  <c r="N318" i="1"/>
  <c r="N294" i="1"/>
  <c r="P294" i="1"/>
  <c r="N301" i="1"/>
  <c r="W301" i="1"/>
  <c r="N298" i="1"/>
  <c r="P298" i="1"/>
  <c r="N293" i="1"/>
  <c r="P293" i="1"/>
  <c r="P301" i="1"/>
  <c r="P302" i="1"/>
  <c r="W302" i="1"/>
  <c r="N302" i="1"/>
  <c r="W289" i="1"/>
  <c r="P300" i="1"/>
  <c r="R300" i="1" s="1"/>
  <c r="S300" i="1" s="1"/>
  <c r="N309" i="1"/>
  <c r="N304" i="1"/>
  <c r="S453" i="1" l="1"/>
  <c r="X453" i="1" s="1"/>
  <c r="Z453" i="1" s="1"/>
  <c r="S421" i="1"/>
  <c r="X421" i="1" s="1"/>
  <c r="Z421" i="1" s="1"/>
  <c r="S509" i="1"/>
  <c r="S691" i="1"/>
  <c r="S706" i="1"/>
  <c r="X706" i="1" s="1"/>
  <c r="Z706" i="1" s="1"/>
  <c r="X690" i="1"/>
  <c r="Z690" i="1" s="1"/>
  <c r="S620" i="1"/>
  <c r="S590" i="1"/>
  <c r="X590" i="1" s="1"/>
  <c r="Z590" i="1" s="1"/>
  <c r="S506" i="1"/>
  <c r="X506" i="1" s="1"/>
  <c r="Z506" i="1" s="1"/>
  <c r="S614" i="1"/>
  <c r="X614" i="1" s="1"/>
  <c r="Z614" i="1" s="1"/>
  <c r="AA614" i="1" s="1"/>
  <c r="S596" i="1"/>
  <c r="X596" i="1" s="1"/>
  <c r="Z596" i="1" s="1"/>
  <c r="S733" i="1"/>
  <c r="S633" i="1"/>
  <c r="X449" i="1"/>
  <c r="Z449" i="1" s="1"/>
  <c r="S520" i="1"/>
  <c r="X520" i="1" s="1"/>
  <c r="Z520" i="1" s="1"/>
  <c r="S686" i="1"/>
  <c r="X686" i="1" s="1"/>
  <c r="Z686" i="1" s="1"/>
  <c r="S715" i="1"/>
  <c r="S556" i="1"/>
  <c r="X556" i="1" s="1"/>
  <c r="Z556" i="1" s="1"/>
  <c r="X559" i="1"/>
  <c r="Z559" i="1" s="1"/>
  <c r="S740" i="1"/>
  <c r="X417" i="1"/>
  <c r="Z417" i="1" s="1"/>
  <c r="S426" i="1"/>
  <c r="X426" i="1" s="1"/>
  <c r="Z426" i="1" s="1"/>
  <c r="X388" i="1"/>
  <c r="Z388" i="1" s="1"/>
  <c r="X452" i="1"/>
  <c r="Z452" i="1" s="1"/>
  <c r="X629" i="1"/>
  <c r="Z629" i="1" s="1"/>
  <c r="S385" i="1"/>
  <c r="X385" i="1" s="1"/>
  <c r="Z385" i="1" s="1"/>
  <c r="X733" i="1"/>
  <c r="Z733" i="1" s="1"/>
  <c r="S521" i="1"/>
  <c r="S416" i="1"/>
  <c r="X416" i="1" s="1"/>
  <c r="Z416" i="1" s="1"/>
  <c r="S472" i="1"/>
  <c r="X472" i="1" s="1"/>
  <c r="Z472" i="1" s="1"/>
  <c r="AA472" i="1" s="1"/>
  <c r="X518" i="1"/>
  <c r="Z518" i="1" s="1"/>
  <c r="X527" i="1"/>
  <c r="Z527" i="1" s="1"/>
  <c r="X734" i="1"/>
  <c r="Z734" i="1" s="1"/>
  <c r="S481" i="1"/>
  <c r="S529" i="1"/>
  <c r="X529" i="1" s="1"/>
  <c r="Z529" i="1" s="1"/>
  <c r="X537" i="1"/>
  <c r="Z537" i="1" s="1"/>
  <c r="S389" i="1"/>
  <c r="X477" i="1"/>
  <c r="Z477" i="1" s="1"/>
  <c r="X435" i="1"/>
  <c r="Z435" i="1" s="1"/>
  <c r="X622" i="1"/>
  <c r="Z622" i="1" s="1"/>
  <c r="S682" i="1"/>
  <c r="X682" i="1" s="1"/>
  <c r="Z682" i="1" s="1"/>
  <c r="S714" i="1"/>
  <c r="X714" i="1" s="1"/>
  <c r="Z714" i="1" s="1"/>
  <c r="S634" i="1"/>
  <c r="S384" i="1"/>
  <c r="X384" i="1" s="1"/>
  <c r="Z384" i="1" s="1"/>
  <c r="AA384" i="1" s="1"/>
  <c r="X481" i="1"/>
  <c r="Z481" i="1" s="1"/>
  <c r="AB482" i="1" s="1"/>
  <c r="X474" i="1"/>
  <c r="Z474" i="1" s="1"/>
  <c r="S560" i="1"/>
  <c r="S427" i="1"/>
  <c r="X427" i="1" s="1"/>
  <c r="Z427" i="1" s="1"/>
  <c r="X544" i="1"/>
  <c r="Z544" i="1" s="1"/>
  <c r="X675" i="1"/>
  <c r="Z675" i="1" s="1"/>
  <c r="S525" i="1"/>
  <c r="X525" i="1" s="1"/>
  <c r="Z525" i="1" s="1"/>
  <c r="AA570" i="1"/>
  <c r="AB570" i="1"/>
  <c r="AA502" i="1"/>
  <c r="AB502" i="1"/>
  <c r="X389" i="1"/>
  <c r="Z389" i="1" s="1"/>
  <c r="X429" i="1"/>
  <c r="Z429" i="1" s="1"/>
  <c r="X484" i="1"/>
  <c r="Z484" i="1" s="1"/>
  <c r="X654" i="1"/>
  <c r="Z654" i="1" s="1"/>
  <c r="S640" i="1"/>
  <c r="X640" i="1" s="1"/>
  <c r="Z640" i="1" s="1"/>
  <c r="S725" i="1"/>
  <c r="S657" i="1"/>
  <c r="X454" i="1"/>
  <c r="Z454" i="1" s="1"/>
  <c r="X500" i="1"/>
  <c r="Z500" i="1" s="1"/>
  <c r="X620" i="1"/>
  <c r="Z620" i="1" s="1"/>
  <c r="X691" i="1"/>
  <c r="Z691" i="1" s="1"/>
  <c r="S438" i="1"/>
  <c r="X438" i="1" s="1"/>
  <c r="Z438" i="1" s="1"/>
  <c r="AB438" i="1" s="1"/>
  <c r="X386" i="1"/>
  <c r="Z386" i="1" s="1"/>
  <c r="X536" i="1"/>
  <c r="Z536" i="1" s="1"/>
  <c r="X716" i="1"/>
  <c r="Z716" i="1" s="1"/>
  <c r="X692" i="1"/>
  <c r="Z692" i="1" s="1"/>
  <c r="AA692" i="1" s="1"/>
  <c r="X583" i="1"/>
  <c r="Z583" i="1" s="1"/>
  <c r="S577" i="1"/>
  <c r="X577" i="1" s="1"/>
  <c r="Z577" i="1" s="1"/>
  <c r="AA577" i="1" s="1"/>
  <c r="X633" i="1"/>
  <c r="Z633" i="1" s="1"/>
  <c r="AA344" i="1"/>
  <c r="AA379" i="1"/>
  <c r="AB379" i="1"/>
  <c r="AA378" i="1"/>
  <c r="AA423" i="1"/>
  <c r="AA475" i="1"/>
  <c r="AB475" i="1"/>
  <c r="AA456" i="1"/>
  <c r="AA534" i="1"/>
  <c r="AA490" i="1"/>
  <c r="AA700" i="1"/>
  <c r="AA729" i="1"/>
  <c r="AB729" i="1"/>
  <c r="AA605" i="1"/>
  <c r="AB605" i="1"/>
  <c r="AA585" i="1"/>
  <c r="AA594" i="1"/>
  <c r="AA670" i="1"/>
  <c r="AA741" i="1"/>
  <c r="AA601" i="1"/>
  <c r="AA453" i="1"/>
  <c r="AB453" i="1"/>
  <c r="AA48" i="1"/>
  <c r="AA421" i="1"/>
  <c r="AA463" i="1"/>
  <c r="AA405" i="1"/>
  <c r="AB405" i="1"/>
  <c r="AA487" i="1"/>
  <c r="AA482" i="1"/>
  <c r="AA558" i="1"/>
  <c r="AA564" i="1"/>
  <c r="AA704" i="1"/>
  <c r="AB704" i="1"/>
  <c r="AA582" i="1"/>
  <c r="AA639" i="1"/>
  <c r="AB639" i="1"/>
  <c r="AA609" i="1"/>
  <c r="AA724" i="1"/>
  <c r="AA590" i="1"/>
  <c r="AA644" i="1"/>
  <c r="AA710" i="1"/>
  <c r="AB710" i="1"/>
  <c r="AA738" i="1"/>
  <c r="AB738" i="1"/>
  <c r="AA649" i="1"/>
  <c r="AA580" i="1"/>
  <c r="AB580" i="1"/>
  <c r="AA345" i="1"/>
  <c r="AB345" i="1"/>
  <c r="AA136" i="1"/>
  <c r="AB384" i="1"/>
  <c r="AA376" i="1"/>
  <c r="AB376" i="1"/>
  <c r="AA130" i="1"/>
  <c r="AB130" i="1"/>
  <c r="AA383" i="1"/>
  <c r="AA418" i="1"/>
  <c r="AB418" i="1"/>
  <c r="AA457" i="1"/>
  <c r="AB457" i="1"/>
  <c r="AA552" i="1"/>
  <c r="AB552" i="1"/>
  <c r="AA492" i="1"/>
  <c r="AA592" i="1"/>
  <c r="AB592" i="1"/>
  <c r="AA706" i="1"/>
  <c r="AA621" i="1"/>
  <c r="AB621" i="1"/>
  <c r="AA586" i="1"/>
  <c r="AB586" i="1"/>
  <c r="AA624" i="1"/>
  <c r="AB624" i="1"/>
  <c r="AA596" i="1"/>
  <c r="AA728" i="1"/>
  <c r="AB728" i="1"/>
  <c r="AA701" i="1"/>
  <c r="AB701" i="1"/>
  <c r="AA698" i="1"/>
  <c r="AB698" i="1"/>
  <c r="AA730" i="1"/>
  <c r="AB730" i="1"/>
  <c r="AB731" i="1"/>
  <c r="AA625" i="1"/>
  <c r="AB625" i="1"/>
  <c r="AA424" i="1"/>
  <c r="AB424" i="1"/>
  <c r="AA428" i="1"/>
  <c r="AA426" i="1"/>
  <c r="AB426" i="1"/>
  <c r="AA469" i="1"/>
  <c r="AA517" i="1"/>
  <c r="AA523" i="1"/>
  <c r="AB523" i="1"/>
  <c r="AA556" i="1"/>
  <c r="AA626" i="1"/>
  <c r="AB626" i="1"/>
  <c r="AA637" i="1"/>
  <c r="AA727" i="1"/>
  <c r="AB727" i="1"/>
  <c r="AA717" i="1"/>
  <c r="AB717" i="1"/>
  <c r="AA683" i="1"/>
  <c r="AA697" i="1"/>
  <c r="AA713" i="1"/>
  <c r="AA598" i="1"/>
  <c r="AA371" i="1"/>
  <c r="AA52" i="1"/>
  <c r="AA389" i="1"/>
  <c r="AB389" i="1"/>
  <c r="X459" i="1"/>
  <c r="Z459" i="1" s="1"/>
  <c r="AA438" i="1"/>
  <c r="AA437" i="1"/>
  <c r="AB437" i="1"/>
  <c r="S390" i="1"/>
  <c r="AA397" i="1"/>
  <c r="X462" i="1"/>
  <c r="Z462" i="1" s="1"/>
  <c r="AB463" i="1" s="1"/>
  <c r="AA449" i="1"/>
  <c r="AA454" i="1"/>
  <c r="AB454" i="1"/>
  <c r="AA412" i="1"/>
  <c r="AA528" i="1"/>
  <c r="AB528" i="1"/>
  <c r="AA536" i="1"/>
  <c r="AA474" i="1"/>
  <c r="X497" i="1"/>
  <c r="Z497" i="1" s="1"/>
  <c r="AA530" i="1"/>
  <c r="S491" i="1"/>
  <c r="AA484" i="1"/>
  <c r="AA526" i="1"/>
  <c r="AB526" i="1"/>
  <c r="X521" i="1"/>
  <c r="Z521" i="1" s="1"/>
  <c r="AB522" i="1" s="1"/>
  <c r="X562" i="1"/>
  <c r="Z562" i="1" s="1"/>
  <c r="S458" i="1"/>
  <c r="X548" i="1"/>
  <c r="Z548" i="1" s="1"/>
  <c r="S399" i="1"/>
  <c r="AA522" i="1"/>
  <c r="X496" i="1"/>
  <c r="Z496" i="1" s="1"/>
  <c r="X419" i="1"/>
  <c r="Z419" i="1" s="1"/>
  <c r="X557" i="1"/>
  <c r="Z557" i="1" s="1"/>
  <c r="X478" i="1"/>
  <c r="Z478" i="1" s="1"/>
  <c r="X499" i="1"/>
  <c r="Z499" i="1" s="1"/>
  <c r="AB500" i="1" s="1"/>
  <c r="S468" i="1"/>
  <c r="X535" i="1"/>
  <c r="Z535" i="1" s="1"/>
  <c r="S493" i="1"/>
  <c r="X485" i="1"/>
  <c r="Z485" i="1" s="1"/>
  <c r="X563" i="1"/>
  <c r="Z563" i="1" s="1"/>
  <c r="S391" i="1"/>
  <c r="AA525" i="1"/>
  <c r="AA675" i="1"/>
  <c r="AB675" i="1"/>
  <c r="AA569" i="1"/>
  <c r="AA694" i="1"/>
  <c r="AB694" i="1"/>
  <c r="X723" i="1"/>
  <c r="Z723" i="1" s="1"/>
  <c r="X573" i="1"/>
  <c r="Z573" i="1" s="1"/>
  <c r="S540" i="1"/>
  <c r="X575" i="1"/>
  <c r="Z575" i="1" s="1"/>
  <c r="X588" i="1"/>
  <c r="Z588" i="1" s="1"/>
  <c r="X619" i="1"/>
  <c r="Z619" i="1" s="1"/>
  <c r="X696" i="1"/>
  <c r="Z696" i="1" s="1"/>
  <c r="X489" i="1"/>
  <c r="Z489" i="1" s="1"/>
  <c r="AA711" i="1"/>
  <c r="AB711" i="1"/>
  <c r="X509" i="1"/>
  <c r="Z509" i="1" s="1"/>
  <c r="AB510" i="1" s="1"/>
  <c r="AA719" i="1"/>
  <c r="X550" i="1"/>
  <c r="Z550" i="1" s="1"/>
  <c r="AA613" i="1"/>
  <c r="X699" i="1"/>
  <c r="Z699" i="1" s="1"/>
  <c r="S695" i="1"/>
  <c r="AA685" i="1"/>
  <c r="S545" i="1"/>
  <c r="X681" i="1"/>
  <c r="Z681" i="1" s="1"/>
  <c r="AA678" i="1"/>
  <c r="S631" i="1"/>
  <c r="S650" i="1"/>
  <c r="X679" i="1"/>
  <c r="Z679" i="1" s="1"/>
  <c r="X635" i="1"/>
  <c r="Z635" i="1" s="1"/>
  <c r="S513" i="1"/>
  <c r="X513" i="1" s="1"/>
  <c r="Z513" i="1" s="1"/>
  <c r="X722" i="1"/>
  <c r="Z722" i="1" s="1"/>
  <c r="X653" i="1"/>
  <c r="Z653" i="1" s="1"/>
  <c r="S571" i="1"/>
  <c r="S668" i="1"/>
  <c r="S659" i="1"/>
  <c r="X593" i="1"/>
  <c r="Z593" i="1" s="1"/>
  <c r="AB594" i="1" s="1"/>
  <c r="S627" i="1"/>
  <c r="X660" i="1"/>
  <c r="Z660" i="1" s="1"/>
  <c r="S587" i="1"/>
  <c r="X587" i="1" s="1"/>
  <c r="Z587" i="1" s="1"/>
  <c r="S665" i="1"/>
  <c r="S658" i="1"/>
  <c r="S603" i="1"/>
  <c r="AB614" i="1"/>
  <c r="S608" i="1"/>
  <c r="S595" i="1"/>
  <c r="S680" i="1"/>
  <c r="X300" i="1"/>
  <c r="Z300" i="1" s="1"/>
  <c r="AA375" i="1"/>
  <c r="AA129" i="1"/>
  <c r="AA417" i="1"/>
  <c r="AB417" i="1"/>
  <c r="X422" i="1"/>
  <c r="Z422" i="1" s="1"/>
  <c r="AA388" i="1"/>
  <c r="X387" i="1"/>
  <c r="Z387" i="1" s="1"/>
  <c r="AB388" i="1" s="1"/>
  <c r="AA429" i="1"/>
  <c r="AB429" i="1"/>
  <c r="AA401" i="1"/>
  <c r="AB401" i="1"/>
  <c r="AA404" i="1"/>
  <c r="X445" i="1"/>
  <c r="Z445" i="1" s="1"/>
  <c r="S382" i="1"/>
  <c r="X382" i="1" s="1"/>
  <c r="Z382" i="1" s="1"/>
  <c r="S394" i="1"/>
  <c r="S381" i="1"/>
  <c r="X381" i="1" s="1"/>
  <c r="Z381" i="1" s="1"/>
  <c r="S433" i="1"/>
  <c r="X433" i="1" s="1"/>
  <c r="Z433" i="1" s="1"/>
  <c r="X393" i="1"/>
  <c r="Z393" i="1" s="1"/>
  <c r="X524" i="1"/>
  <c r="Z524" i="1" s="1"/>
  <c r="AB525" i="1" s="1"/>
  <c r="X443" i="1"/>
  <c r="Z443" i="1" s="1"/>
  <c r="X491" i="1"/>
  <c r="Z491" i="1" s="1"/>
  <c r="AA503" i="1"/>
  <c r="AB503" i="1"/>
  <c r="AA500" i="1"/>
  <c r="X458" i="1"/>
  <c r="Z458" i="1" s="1"/>
  <c r="X464" i="1"/>
  <c r="Z464" i="1" s="1"/>
  <c r="S455" i="1"/>
  <c r="X455" i="1" s="1"/>
  <c r="Z455" i="1" s="1"/>
  <c r="X486" i="1"/>
  <c r="Z486" i="1" s="1"/>
  <c r="AB487" i="1" s="1"/>
  <c r="S519" i="1"/>
  <c r="X476" i="1"/>
  <c r="Z476" i="1" s="1"/>
  <c r="AB477" i="1" s="1"/>
  <c r="S467" i="1"/>
  <c r="AA477" i="1"/>
  <c r="X543" i="1"/>
  <c r="Z543" i="1" s="1"/>
  <c r="S407" i="1"/>
  <c r="X407" i="1" s="1"/>
  <c r="Z407" i="1" s="1"/>
  <c r="S512" i="1"/>
  <c r="X512" i="1" s="1"/>
  <c r="Z512" i="1" s="1"/>
  <c r="S508" i="1"/>
  <c r="X508" i="1" s="1"/>
  <c r="Z508" i="1" s="1"/>
  <c r="AA510" i="1"/>
  <c r="S473" i="1"/>
  <c r="X473" i="1" s="1"/>
  <c r="Z473" i="1" s="1"/>
  <c r="AA514" i="1"/>
  <c r="X493" i="1"/>
  <c r="Z493" i="1" s="1"/>
  <c r="X549" i="1"/>
  <c r="Z549" i="1" s="1"/>
  <c r="X391" i="1"/>
  <c r="Z391" i="1" s="1"/>
  <c r="S413" i="1"/>
  <c r="X413" i="1" s="1"/>
  <c r="Z413" i="1" s="1"/>
  <c r="S403" i="1"/>
  <c r="X403" i="1" s="1"/>
  <c r="Z403" i="1" s="1"/>
  <c r="AA734" i="1"/>
  <c r="AB734" i="1"/>
  <c r="X516" i="1"/>
  <c r="Z516" i="1" s="1"/>
  <c r="X532" i="1"/>
  <c r="Z532" i="1" s="1"/>
  <c r="AA686" i="1"/>
  <c r="AB686" i="1"/>
  <c r="AA641" i="1"/>
  <c r="AA618" i="1"/>
  <c r="AA622" i="1"/>
  <c r="AB622" i="1"/>
  <c r="S643" i="1"/>
  <c r="X643" i="1" s="1"/>
  <c r="Z643" i="1" s="1"/>
  <c r="X540" i="1"/>
  <c r="Z540" i="1" s="1"/>
  <c r="AA607" i="1"/>
  <c r="AA716" i="1"/>
  <c r="X740" i="1"/>
  <c r="Z740" i="1" s="1"/>
  <c r="AB741" i="1" s="1"/>
  <c r="AA693" i="1"/>
  <c r="AB693" i="1"/>
  <c r="S732" i="1"/>
  <c r="X732" i="1" s="1"/>
  <c r="Z732" i="1" s="1"/>
  <c r="AA559" i="1"/>
  <c r="AB559" i="1"/>
  <c r="X669" i="1"/>
  <c r="Z669" i="1" s="1"/>
  <c r="X617" i="1"/>
  <c r="Z617" i="1" s="1"/>
  <c r="AB618" i="1" s="1"/>
  <c r="X597" i="1"/>
  <c r="Z597" i="1" s="1"/>
  <c r="X611" i="1"/>
  <c r="Z611" i="1" s="1"/>
  <c r="X602" i="1"/>
  <c r="Z602" i="1" s="1"/>
  <c r="S707" i="1"/>
  <c r="X707" i="1" s="1"/>
  <c r="Z707" i="1" s="1"/>
  <c r="AA737" i="1"/>
  <c r="AB737" i="1"/>
  <c r="AA736" i="1"/>
  <c r="S568" i="1"/>
  <c r="X568" i="1" s="1"/>
  <c r="Z568" i="1" s="1"/>
  <c r="X545" i="1"/>
  <c r="Z545" i="1" s="1"/>
  <c r="X718" i="1"/>
  <c r="Z718" i="1" s="1"/>
  <c r="X631" i="1"/>
  <c r="Z631" i="1" s="1"/>
  <c r="X650" i="1"/>
  <c r="Z650" i="1" s="1"/>
  <c r="S533" i="1"/>
  <c r="X533" i="1" s="1"/>
  <c r="Z533" i="1" s="1"/>
  <c r="AA501" i="1"/>
  <c r="AB501" i="1"/>
  <c r="AA654" i="1"/>
  <c r="AB654" i="1"/>
  <c r="X571" i="1"/>
  <c r="Z571" i="1" s="1"/>
  <c r="S672" i="1"/>
  <c r="X672" i="1" s="1"/>
  <c r="Z672" i="1" s="1"/>
  <c r="S647" i="1"/>
  <c r="X647" i="1" s="1"/>
  <c r="Z647" i="1" s="1"/>
  <c r="S555" i="1"/>
  <c r="X555" i="1" s="1"/>
  <c r="Z555" i="1" s="1"/>
  <c r="AA638" i="1"/>
  <c r="AB638" i="1"/>
  <c r="S667" i="1"/>
  <c r="X667" i="1" s="1"/>
  <c r="Z667" i="1" s="1"/>
  <c r="S636" i="1"/>
  <c r="X636" i="1" s="1"/>
  <c r="Z636" i="1" s="1"/>
  <c r="S656" i="1"/>
  <c r="X665" i="1"/>
  <c r="Z665" i="1" s="1"/>
  <c r="X642" i="1"/>
  <c r="Z642" i="1" s="1"/>
  <c r="X603" i="1"/>
  <c r="Z603" i="1" s="1"/>
  <c r="AB604" i="1" s="1"/>
  <c r="X608" i="1"/>
  <c r="Z608" i="1" s="1"/>
  <c r="AB609" i="1" s="1"/>
  <c r="AA633" i="1"/>
  <c r="X725" i="1"/>
  <c r="Z725" i="1" s="1"/>
  <c r="AB726" i="1" s="1"/>
  <c r="S648" i="1"/>
  <c r="X648" i="1" s="1"/>
  <c r="Z648" i="1" s="1"/>
  <c r="AB649" i="1" s="1"/>
  <c r="S615" i="1"/>
  <c r="X680" i="1"/>
  <c r="Z680" i="1" s="1"/>
  <c r="AA231" i="1"/>
  <c r="X451" i="1"/>
  <c r="Z451" i="1" s="1"/>
  <c r="AB452" i="1" s="1"/>
  <c r="X380" i="1"/>
  <c r="Z380" i="1" s="1"/>
  <c r="AA386" i="1"/>
  <c r="AB386" i="1"/>
  <c r="AA385" i="1"/>
  <c r="AB385" i="1"/>
  <c r="X430" i="1"/>
  <c r="Z430" i="1" s="1"/>
  <c r="AA409" i="1"/>
  <c r="AB409" i="1"/>
  <c r="AA442" i="1"/>
  <c r="AB442" i="1"/>
  <c r="X434" i="1"/>
  <c r="Z434" i="1" s="1"/>
  <c r="AB435" i="1" s="1"/>
  <c r="X406" i="1"/>
  <c r="Z406" i="1" s="1"/>
  <c r="AA398" i="1"/>
  <c r="AB398" i="1"/>
  <c r="X410" i="1"/>
  <c r="Z410" i="1" s="1"/>
  <c r="X394" i="1"/>
  <c r="Z394" i="1" s="1"/>
  <c r="AA440" i="1"/>
  <c r="S420" i="1"/>
  <c r="X420" i="1" s="1"/>
  <c r="Z420" i="1" s="1"/>
  <c r="S432" i="1"/>
  <c r="X432" i="1" s="1"/>
  <c r="Z432" i="1" s="1"/>
  <c r="AA506" i="1"/>
  <c r="AB506" i="1"/>
  <c r="X431" i="1"/>
  <c r="Z431" i="1" s="1"/>
  <c r="AA436" i="1"/>
  <c r="AB436" i="1"/>
  <c r="S411" i="1"/>
  <c r="X411" i="1" s="1"/>
  <c r="Z411" i="1" s="1"/>
  <c r="AA567" i="1"/>
  <c r="AB567" i="1"/>
  <c r="X561" i="1"/>
  <c r="Z561" i="1" s="1"/>
  <c r="X519" i="1"/>
  <c r="Z519" i="1" s="1"/>
  <c r="S377" i="1"/>
  <c r="X377" i="1" s="1"/>
  <c r="Z377" i="1" s="1"/>
  <c r="AA518" i="1"/>
  <c r="AB518" i="1"/>
  <c r="S396" i="1"/>
  <c r="X467" i="1"/>
  <c r="Z467" i="1" s="1"/>
  <c r="S395" i="1"/>
  <c r="X395" i="1" s="1"/>
  <c r="Z395" i="1" s="1"/>
  <c r="AA527" i="1"/>
  <c r="AB527" i="1"/>
  <c r="AA554" i="1"/>
  <c r="AA498" i="1"/>
  <c r="AB498" i="1"/>
  <c r="S446" i="1"/>
  <c r="S471" i="1"/>
  <c r="AA544" i="1"/>
  <c r="AB544" i="1"/>
  <c r="X688" i="1"/>
  <c r="Z688" i="1" s="1"/>
  <c r="AB689" i="1" s="1"/>
  <c r="AA591" i="1"/>
  <c r="AB591" i="1"/>
  <c r="AA662" i="1"/>
  <c r="AA629" i="1"/>
  <c r="AA566" i="1"/>
  <c r="S576" i="1"/>
  <c r="X576" i="1" s="1"/>
  <c r="Z576" i="1" s="1"/>
  <c r="AA583" i="1"/>
  <c r="AB583" i="1"/>
  <c r="AA690" i="1"/>
  <c r="AB690" i="1"/>
  <c r="AA579" i="1"/>
  <c r="AA623" i="1"/>
  <c r="AB623" i="1"/>
  <c r="S664" i="1"/>
  <c r="X664" i="1" s="1"/>
  <c r="Z664" i="1" s="1"/>
  <c r="AA620" i="1"/>
  <c r="AB620" i="1"/>
  <c r="AA691" i="1"/>
  <c r="AB691" i="1"/>
  <c r="S479" i="1"/>
  <c r="X479" i="1" s="1"/>
  <c r="Z479" i="1" s="1"/>
  <c r="X712" i="1"/>
  <c r="Z712" i="1" s="1"/>
  <c r="AB713" i="1" s="1"/>
  <c r="AA726" i="1"/>
  <c r="S574" i="1"/>
  <c r="X574" i="1" s="1"/>
  <c r="Z574" i="1" s="1"/>
  <c r="X677" i="1"/>
  <c r="Z677" i="1" s="1"/>
  <c r="X578" i="1"/>
  <c r="Z578" i="1" s="1"/>
  <c r="AA702" i="1"/>
  <c r="AB702" i="1"/>
  <c r="AA537" i="1"/>
  <c r="AB537" i="1"/>
  <c r="X651" i="1"/>
  <c r="Z651" i="1" s="1"/>
  <c r="S584" i="1"/>
  <c r="X584" i="1" s="1"/>
  <c r="Z584" i="1" s="1"/>
  <c r="X581" i="1"/>
  <c r="Z581" i="1" s="1"/>
  <c r="AA689" i="1"/>
  <c r="S610" i="1"/>
  <c r="X610" i="1" s="1"/>
  <c r="Z610" i="1" s="1"/>
  <c r="X739" i="1"/>
  <c r="Z739" i="1" s="1"/>
  <c r="S645" i="1"/>
  <c r="X645" i="1" s="1"/>
  <c r="Z645" i="1" s="1"/>
  <c r="X656" i="1"/>
  <c r="Z656" i="1" s="1"/>
  <c r="S735" i="1"/>
  <c r="X735" i="1" s="1"/>
  <c r="Z735" i="1" s="1"/>
  <c r="AB736" i="1" s="1"/>
  <c r="X658" i="1"/>
  <c r="Z658" i="1" s="1"/>
  <c r="S666" i="1"/>
  <c r="X666" i="1" s="1"/>
  <c r="Z666" i="1" s="1"/>
  <c r="S628" i="1"/>
  <c r="S589" i="1"/>
  <c r="X589" i="1" s="1"/>
  <c r="Z589" i="1" s="1"/>
  <c r="AB590" i="1" s="1"/>
  <c r="S705" i="1"/>
  <c r="X705" i="1" s="1"/>
  <c r="Z705" i="1" s="1"/>
  <c r="X630" i="1"/>
  <c r="Z630" i="1" s="1"/>
  <c r="S632" i="1"/>
  <c r="X632" i="1" s="1"/>
  <c r="Z632" i="1" s="1"/>
  <c r="X615" i="1"/>
  <c r="Z615" i="1" s="1"/>
  <c r="X306" i="1"/>
  <c r="Z306" i="1" s="1"/>
  <c r="X374" i="1"/>
  <c r="Z374" i="1" s="1"/>
  <c r="AA425" i="1"/>
  <c r="AB425" i="1"/>
  <c r="X450" i="1"/>
  <c r="Z450" i="1" s="1"/>
  <c r="AA402" i="1"/>
  <c r="AB402" i="1"/>
  <c r="X414" i="1"/>
  <c r="Z414" i="1" s="1"/>
  <c r="X390" i="1"/>
  <c r="Z390" i="1" s="1"/>
  <c r="AA416" i="1"/>
  <c r="X466" i="1"/>
  <c r="Z466" i="1" s="1"/>
  <c r="AA441" i="1"/>
  <c r="AB441" i="1"/>
  <c r="X415" i="1"/>
  <c r="Z415" i="1" s="1"/>
  <c r="AA481" i="1"/>
  <c r="AA551" i="1"/>
  <c r="AB551" i="1"/>
  <c r="S439" i="1"/>
  <c r="X439" i="1" s="1"/>
  <c r="Z439" i="1" s="1"/>
  <c r="AA494" i="1"/>
  <c r="AB494" i="1"/>
  <c r="AA511" i="1"/>
  <c r="AB511" i="1"/>
  <c r="X560" i="1"/>
  <c r="Z560" i="1" s="1"/>
  <c r="X447" i="1"/>
  <c r="Z447" i="1" s="1"/>
  <c r="X465" i="1"/>
  <c r="Z465" i="1" s="1"/>
  <c r="X399" i="1"/>
  <c r="Z399" i="1" s="1"/>
  <c r="AA452" i="1"/>
  <c r="AA470" i="1"/>
  <c r="AB470" i="1"/>
  <c r="X542" i="1"/>
  <c r="Z542" i="1" s="1"/>
  <c r="X396" i="1"/>
  <c r="Z396" i="1" s="1"/>
  <c r="S448" i="1"/>
  <c r="X448" i="1" s="1"/>
  <c r="Z448" i="1" s="1"/>
  <c r="AB449" i="1" s="1"/>
  <c r="X468" i="1"/>
  <c r="Z468" i="1" s="1"/>
  <c r="AA547" i="1"/>
  <c r="AB547" i="1"/>
  <c r="AA505" i="1"/>
  <c r="S504" i="1"/>
  <c r="X504" i="1" s="1"/>
  <c r="Z504" i="1" s="1"/>
  <c r="X446" i="1"/>
  <c r="Z446" i="1" s="1"/>
  <c r="S461" i="1"/>
  <c r="X461" i="1" s="1"/>
  <c r="Z461" i="1" s="1"/>
  <c r="X471" i="1"/>
  <c r="Z471" i="1" s="1"/>
  <c r="AA435" i="1"/>
  <c r="X483" i="1"/>
  <c r="Z483" i="1" s="1"/>
  <c r="S531" i="1"/>
  <c r="X531" i="1" s="1"/>
  <c r="Z531" i="1" s="1"/>
  <c r="S444" i="1"/>
  <c r="X444" i="1" s="1"/>
  <c r="Z444" i="1" s="1"/>
  <c r="S495" i="1"/>
  <c r="X495" i="1" s="1"/>
  <c r="Z495" i="1" s="1"/>
  <c r="AA703" i="1"/>
  <c r="AB703" i="1"/>
  <c r="S480" i="1"/>
  <c r="X480" i="1" s="1"/>
  <c r="Z480" i="1" s="1"/>
  <c r="AA663" i="1"/>
  <c r="AB663" i="1"/>
  <c r="X673" i="1"/>
  <c r="Z673" i="1" s="1"/>
  <c r="AA714" i="1"/>
  <c r="AB714" i="1"/>
  <c r="X687" i="1"/>
  <c r="Z687" i="1" s="1"/>
  <c r="S553" i="1"/>
  <c r="X553" i="1" s="1"/>
  <c r="Z553" i="1" s="1"/>
  <c r="S515" i="1"/>
  <c r="X515" i="1" s="1"/>
  <c r="Z515" i="1" s="1"/>
  <c r="X708" i="1"/>
  <c r="Z708" i="1" s="1"/>
  <c r="AB709" i="1" s="1"/>
  <c r="X676" i="1"/>
  <c r="Z676" i="1" s="1"/>
  <c r="AA709" i="1"/>
  <c r="AA604" i="1"/>
  <c r="X695" i="1"/>
  <c r="Z695" i="1" s="1"/>
  <c r="S565" i="1"/>
  <c r="X565" i="1" s="1"/>
  <c r="Z565" i="1" s="1"/>
  <c r="S539" i="1"/>
  <c r="X539" i="1" s="1"/>
  <c r="Z539" i="1" s="1"/>
  <c r="AA655" i="1"/>
  <c r="AB655" i="1"/>
  <c r="S488" i="1"/>
  <c r="X488" i="1" s="1"/>
  <c r="Z488" i="1" s="1"/>
  <c r="X606" i="1"/>
  <c r="Z606" i="1" s="1"/>
  <c r="AB607" i="1" s="1"/>
  <c r="S507" i="1"/>
  <c r="X507" i="1" s="1"/>
  <c r="Z507" i="1" s="1"/>
  <c r="AB538" i="1"/>
  <c r="S541" i="1"/>
  <c r="X541" i="1" s="1"/>
  <c r="Z541" i="1" s="1"/>
  <c r="X668" i="1"/>
  <c r="Z668" i="1" s="1"/>
  <c r="AA733" i="1"/>
  <c r="S599" i="1"/>
  <c r="X599" i="1" s="1"/>
  <c r="Z599" i="1" s="1"/>
  <c r="X659" i="1"/>
  <c r="Z659" i="1" s="1"/>
  <c r="AA720" i="1"/>
  <c r="AB720" i="1"/>
  <c r="X627" i="1"/>
  <c r="Z627" i="1" s="1"/>
  <c r="X612" i="1"/>
  <c r="Z612" i="1" s="1"/>
  <c r="X652" i="1"/>
  <c r="Z652" i="1" s="1"/>
  <c r="S646" i="1"/>
  <c r="X646" i="1" s="1"/>
  <c r="Z646" i="1" s="1"/>
  <c r="X634" i="1"/>
  <c r="Z634" i="1" s="1"/>
  <c r="S671" i="1"/>
  <c r="X671" i="1" s="1"/>
  <c r="Z671" i="1" s="1"/>
  <c r="X572" i="1"/>
  <c r="Z572" i="1" s="1"/>
  <c r="X684" i="1"/>
  <c r="Z684" i="1" s="1"/>
  <c r="X628" i="1"/>
  <c r="Z628" i="1" s="1"/>
  <c r="X715" i="1"/>
  <c r="Z715" i="1" s="1"/>
  <c r="S661" i="1"/>
  <c r="X661" i="1" s="1"/>
  <c r="Z661" i="1" s="1"/>
  <c r="S616" i="1"/>
  <c r="X616" i="1" s="1"/>
  <c r="Z616" i="1" s="1"/>
  <c r="AB692" i="1"/>
  <c r="X657" i="1"/>
  <c r="Z657" i="1" s="1"/>
  <c r="S600" i="1"/>
  <c r="X600" i="1" s="1"/>
  <c r="Z600" i="1" s="1"/>
  <c r="X595" i="1"/>
  <c r="Z595" i="1" s="1"/>
  <c r="AB472" i="1" l="1"/>
  <c r="AA520" i="1"/>
  <c r="AB520" i="1"/>
  <c r="AB530" i="1"/>
  <c r="AA529" i="1"/>
  <c r="AB529" i="1"/>
  <c r="AB640" i="1"/>
  <c r="AB641" i="1"/>
  <c r="AA640" i="1"/>
  <c r="AB428" i="1"/>
  <c r="AB427" i="1"/>
  <c r="AA427" i="1"/>
  <c r="AB683" i="1"/>
  <c r="AA682" i="1"/>
  <c r="AB682" i="1"/>
  <c r="AB577" i="1"/>
  <c r="AA599" i="1"/>
  <c r="AB599" i="1"/>
  <c r="AA539" i="1"/>
  <c r="AB539" i="1"/>
  <c r="AA479" i="1"/>
  <c r="AB479" i="1"/>
  <c r="AA507" i="1"/>
  <c r="AB507" i="1"/>
  <c r="AA488" i="1"/>
  <c r="AB488" i="1"/>
  <c r="AA565" i="1"/>
  <c r="AB565" i="1"/>
  <c r="AB566" i="1"/>
  <c r="AA515" i="1"/>
  <c r="AB515" i="1"/>
  <c r="AA705" i="1"/>
  <c r="AB705" i="1"/>
  <c r="AB706" i="1"/>
  <c r="AA666" i="1"/>
  <c r="AB666" i="1"/>
  <c r="AA645" i="1"/>
  <c r="AB645" i="1"/>
  <c r="AA664" i="1"/>
  <c r="AB664" i="1"/>
  <c r="AA533" i="1"/>
  <c r="AB533" i="1"/>
  <c r="AB534" i="1"/>
  <c r="AA643" i="1"/>
  <c r="AB643" i="1"/>
  <c r="AB644" i="1"/>
  <c r="AA473" i="1"/>
  <c r="AB473" i="1"/>
  <c r="AB474" i="1"/>
  <c r="AA512" i="1"/>
  <c r="AB512" i="1"/>
  <c r="AA382" i="1"/>
  <c r="AB382" i="1"/>
  <c r="AB383" i="1"/>
  <c r="AA513" i="1"/>
  <c r="AB513" i="1"/>
  <c r="AB514" i="1"/>
  <c r="AA444" i="1"/>
  <c r="AB444" i="1"/>
  <c r="AA568" i="1"/>
  <c r="AB568" i="1"/>
  <c r="AB569" i="1"/>
  <c r="AA407" i="1"/>
  <c r="AB407" i="1"/>
  <c r="AB408" i="1"/>
  <c r="AA455" i="1"/>
  <c r="AB455" i="1"/>
  <c r="AB456" i="1"/>
  <c r="AA616" i="1"/>
  <c r="AB616" i="1"/>
  <c r="AA671" i="1"/>
  <c r="AB671" i="1"/>
  <c r="AA480" i="1"/>
  <c r="AB480" i="1"/>
  <c r="AB481" i="1"/>
  <c r="AA504" i="1"/>
  <c r="AB504" i="1"/>
  <c r="AB505" i="1"/>
  <c r="AA707" i="1"/>
  <c r="AB707" i="1"/>
  <c r="AA732" i="1"/>
  <c r="AB732" i="1"/>
  <c r="AB733" i="1"/>
  <c r="AA600" i="1"/>
  <c r="AB600" i="1"/>
  <c r="AB601" i="1"/>
  <c r="AA661" i="1"/>
  <c r="AB661" i="1"/>
  <c r="AB662" i="1"/>
  <c r="AA541" i="1"/>
  <c r="AB541" i="1"/>
  <c r="AA553" i="1"/>
  <c r="AB553" i="1"/>
  <c r="AB554" i="1"/>
  <c r="AA632" i="1"/>
  <c r="AB632" i="1"/>
  <c r="AB633" i="1"/>
  <c r="AA411" i="1"/>
  <c r="AB411" i="1"/>
  <c r="AB412" i="1"/>
  <c r="AA403" i="1"/>
  <c r="AB403" i="1"/>
  <c r="AB404" i="1"/>
  <c r="AA381" i="1"/>
  <c r="AB381" i="1"/>
  <c r="AA646" i="1"/>
  <c r="AB646" i="1"/>
  <c r="AA461" i="1"/>
  <c r="AB461" i="1"/>
  <c r="AA377" i="1"/>
  <c r="AB377" i="1"/>
  <c r="AB378" i="1"/>
  <c r="AA413" i="1"/>
  <c r="AB413" i="1"/>
  <c r="AA508" i="1"/>
  <c r="AB508" i="1"/>
  <c r="AA657" i="1"/>
  <c r="AB657" i="1"/>
  <c r="AA715" i="1"/>
  <c r="AB715" i="1"/>
  <c r="AA572" i="1"/>
  <c r="AB572" i="1"/>
  <c r="AA652" i="1"/>
  <c r="AB652" i="1"/>
  <c r="AA574" i="1"/>
  <c r="AB574" i="1"/>
  <c r="AA708" i="1"/>
  <c r="AB708" i="1"/>
  <c r="AA687" i="1"/>
  <c r="AB687" i="1"/>
  <c r="AA483" i="1"/>
  <c r="AB483" i="1"/>
  <c r="AA396" i="1"/>
  <c r="AB396" i="1"/>
  <c r="AA447" i="1"/>
  <c r="AB447" i="1"/>
  <c r="AA439" i="1"/>
  <c r="AB439" i="1"/>
  <c r="AA390" i="1"/>
  <c r="AB390" i="1"/>
  <c r="AA414" i="1"/>
  <c r="AB414" i="1"/>
  <c r="AA374" i="1"/>
  <c r="AA306" i="1"/>
  <c r="AA658" i="1"/>
  <c r="AB658" i="1"/>
  <c r="AA651" i="1"/>
  <c r="AB651" i="1"/>
  <c r="AA467" i="1"/>
  <c r="AB467" i="1"/>
  <c r="AA420" i="1"/>
  <c r="AB420" i="1"/>
  <c r="AA406" i="1"/>
  <c r="AB406" i="1"/>
  <c r="AA430" i="1"/>
  <c r="AB430" i="1"/>
  <c r="AA380" i="1"/>
  <c r="AB380" i="1"/>
  <c r="AA680" i="1"/>
  <c r="AB680" i="1"/>
  <c r="AA725" i="1"/>
  <c r="AB725" i="1"/>
  <c r="AA603" i="1"/>
  <c r="AB603" i="1"/>
  <c r="AA672" i="1"/>
  <c r="AB672" i="1"/>
  <c r="AA631" i="1"/>
  <c r="AB631" i="1"/>
  <c r="AA611" i="1"/>
  <c r="AB611" i="1"/>
  <c r="AA669" i="1"/>
  <c r="AB669" i="1"/>
  <c r="AA391" i="1"/>
  <c r="AB391" i="1"/>
  <c r="AB392" i="1"/>
  <c r="AA476" i="1"/>
  <c r="AB476" i="1"/>
  <c r="AA393" i="1"/>
  <c r="AB393" i="1"/>
  <c r="AA445" i="1"/>
  <c r="AB445" i="1"/>
  <c r="AA387" i="1"/>
  <c r="AB387" i="1"/>
  <c r="AA660" i="1"/>
  <c r="AB660" i="1"/>
  <c r="AA509" i="1"/>
  <c r="AB509" i="1"/>
  <c r="AA696" i="1"/>
  <c r="AB696" i="1"/>
  <c r="AA575" i="1"/>
  <c r="AB575" i="1"/>
  <c r="AA723" i="1"/>
  <c r="AB723" i="1"/>
  <c r="AA535" i="1"/>
  <c r="AB535" i="1"/>
  <c r="AA557" i="1"/>
  <c r="AB557" i="1"/>
  <c r="AA496" i="1"/>
  <c r="AB496" i="1"/>
  <c r="AA548" i="1"/>
  <c r="AB548" i="1"/>
  <c r="AB397" i="1"/>
  <c r="AA459" i="1"/>
  <c r="AB459" i="1"/>
  <c r="AB460" i="1"/>
  <c r="AB724" i="1"/>
  <c r="AB558" i="1"/>
  <c r="AA595" i="1"/>
  <c r="AB595" i="1"/>
  <c r="AA628" i="1"/>
  <c r="AB628" i="1"/>
  <c r="AA612" i="1"/>
  <c r="AB612" i="1"/>
  <c r="AA659" i="1"/>
  <c r="AB659" i="1"/>
  <c r="AA495" i="1"/>
  <c r="AB495" i="1"/>
  <c r="AA446" i="1"/>
  <c r="AB446" i="1"/>
  <c r="AA468" i="1"/>
  <c r="AB468" i="1"/>
  <c r="AA542" i="1"/>
  <c r="AB542" i="1"/>
  <c r="AA560" i="1"/>
  <c r="AB560" i="1"/>
  <c r="AA630" i="1"/>
  <c r="AB630" i="1"/>
  <c r="AA636" i="1"/>
  <c r="AB636" i="1"/>
  <c r="AA739" i="1"/>
  <c r="AB739" i="1"/>
  <c r="AA578" i="1"/>
  <c r="AB578" i="1"/>
  <c r="AA688" i="1"/>
  <c r="AB688" i="1"/>
  <c r="AA519" i="1"/>
  <c r="AB519" i="1"/>
  <c r="AB440" i="1"/>
  <c r="AA434" i="1"/>
  <c r="AB434" i="1"/>
  <c r="AA451" i="1"/>
  <c r="AB451" i="1"/>
  <c r="AA571" i="1"/>
  <c r="AB571" i="1"/>
  <c r="AA718" i="1"/>
  <c r="AB718" i="1"/>
  <c r="AA597" i="1"/>
  <c r="AB597" i="1"/>
  <c r="AA532" i="1"/>
  <c r="AB532" i="1"/>
  <c r="AA549" i="1"/>
  <c r="AB549" i="1"/>
  <c r="AA464" i="1"/>
  <c r="AB464" i="1"/>
  <c r="AB375" i="1"/>
  <c r="AA300" i="1"/>
  <c r="AA635" i="1"/>
  <c r="AB635" i="1"/>
  <c r="AA681" i="1"/>
  <c r="AB681" i="1"/>
  <c r="AA699" i="1"/>
  <c r="AB699" i="1"/>
  <c r="AA550" i="1"/>
  <c r="AB550" i="1"/>
  <c r="AA563" i="1"/>
  <c r="AB563" i="1"/>
  <c r="AA419" i="1"/>
  <c r="AB419" i="1"/>
  <c r="AA462" i="1"/>
  <c r="AB462" i="1"/>
  <c r="AB469" i="1"/>
  <c r="AB700" i="1"/>
  <c r="AA684" i="1"/>
  <c r="AB684" i="1"/>
  <c r="AA634" i="1"/>
  <c r="AB634" i="1"/>
  <c r="AA627" i="1"/>
  <c r="AB627" i="1"/>
  <c r="AA647" i="1"/>
  <c r="AB647" i="1"/>
  <c r="AA668" i="1"/>
  <c r="AB668" i="1"/>
  <c r="AA584" i="1"/>
  <c r="AB584" i="1"/>
  <c r="AA695" i="1"/>
  <c r="AB695" i="1"/>
  <c r="AA576" i="1"/>
  <c r="AB576" i="1"/>
  <c r="AA395" i="1"/>
  <c r="AB395" i="1"/>
  <c r="AA399" i="1"/>
  <c r="AB399" i="1"/>
  <c r="AB400" i="1"/>
  <c r="AA415" i="1"/>
  <c r="AB415" i="1"/>
  <c r="AB416" i="1"/>
  <c r="AA450" i="1"/>
  <c r="AB450" i="1"/>
  <c r="AA656" i="1"/>
  <c r="AB656" i="1"/>
  <c r="AA667" i="1"/>
  <c r="AB667" i="1"/>
  <c r="AA610" i="1"/>
  <c r="AB610" i="1"/>
  <c r="AA581" i="1"/>
  <c r="AB581" i="1"/>
  <c r="AA677" i="1"/>
  <c r="AB677" i="1"/>
  <c r="AB579" i="1"/>
  <c r="AA561" i="1"/>
  <c r="AB561" i="1"/>
  <c r="AA431" i="1"/>
  <c r="AB431" i="1"/>
  <c r="AA410" i="1"/>
  <c r="AB410" i="1"/>
  <c r="AA642" i="1"/>
  <c r="AB642" i="1"/>
  <c r="AA545" i="1"/>
  <c r="AB545" i="1"/>
  <c r="AB546" i="1"/>
  <c r="AA617" i="1"/>
  <c r="AB617" i="1"/>
  <c r="AA740" i="1"/>
  <c r="AB740" i="1"/>
  <c r="AA516" i="1"/>
  <c r="AB516" i="1"/>
  <c r="AA493" i="1"/>
  <c r="AB493" i="1"/>
  <c r="AA486" i="1"/>
  <c r="AB486" i="1"/>
  <c r="AA458" i="1"/>
  <c r="AB458" i="1"/>
  <c r="AA443" i="1"/>
  <c r="AB443" i="1"/>
  <c r="AA433" i="1"/>
  <c r="AB433" i="1"/>
  <c r="AA593" i="1"/>
  <c r="AB593" i="1"/>
  <c r="AA653" i="1"/>
  <c r="AB653" i="1"/>
  <c r="AB685" i="1"/>
  <c r="AB613" i="1"/>
  <c r="AB719" i="1"/>
  <c r="AA619" i="1"/>
  <c r="AB619" i="1"/>
  <c r="AA485" i="1"/>
  <c r="AB485" i="1"/>
  <c r="AA499" i="1"/>
  <c r="AB499" i="1"/>
  <c r="AA562" i="1"/>
  <c r="AB562" i="1"/>
  <c r="AB484" i="1"/>
  <c r="AB536" i="1"/>
  <c r="AB582" i="1"/>
  <c r="AB564" i="1"/>
  <c r="AB421" i="1"/>
  <c r="AA589" i="1"/>
  <c r="AB589" i="1"/>
  <c r="AA735" i="1"/>
  <c r="AB735" i="1"/>
  <c r="AA606" i="1"/>
  <c r="AB606" i="1"/>
  <c r="AA676" i="1"/>
  <c r="AB676" i="1"/>
  <c r="AA673" i="1"/>
  <c r="AB673" i="1"/>
  <c r="AB674" i="1"/>
  <c r="AA531" i="1"/>
  <c r="AB531" i="1"/>
  <c r="AA471" i="1"/>
  <c r="AB471" i="1"/>
  <c r="AA448" i="1"/>
  <c r="AB448" i="1"/>
  <c r="AA465" i="1"/>
  <c r="AB465" i="1"/>
  <c r="AA432" i="1"/>
  <c r="AB432" i="1"/>
  <c r="AA466" i="1"/>
  <c r="AB466" i="1"/>
  <c r="AA615" i="1"/>
  <c r="AB615" i="1"/>
  <c r="AA648" i="1"/>
  <c r="AB648" i="1"/>
  <c r="AA555" i="1"/>
  <c r="AB555" i="1"/>
  <c r="AA712" i="1"/>
  <c r="AB712" i="1"/>
  <c r="AB629" i="1"/>
  <c r="AA394" i="1"/>
  <c r="AB394" i="1"/>
  <c r="AA608" i="1"/>
  <c r="AB608" i="1"/>
  <c r="AA665" i="1"/>
  <c r="AB665" i="1"/>
  <c r="AA650" i="1"/>
  <c r="AB650" i="1"/>
  <c r="AA602" i="1"/>
  <c r="AB602" i="1"/>
  <c r="AB716" i="1"/>
  <c r="AA540" i="1"/>
  <c r="AB540" i="1"/>
  <c r="AA587" i="1"/>
  <c r="AB587" i="1"/>
  <c r="AA543" i="1"/>
  <c r="AB543" i="1"/>
  <c r="AA491" i="1"/>
  <c r="AB491" i="1"/>
  <c r="AA524" i="1"/>
  <c r="AB524" i="1"/>
  <c r="AA422" i="1"/>
  <c r="AB422" i="1"/>
  <c r="AA722" i="1"/>
  <c r="AB722" i="1"/>
  <c r="AA679" i="1"/>
  <c r="AB679" i="1"/>
  <c r="AB678" i="1"/>
  <c r="AA489" i="1"/>
  <c r="AB489" i="1"/>
  <c r="AA588" i="1"/>
  <c r="AB588" i="1"/>
  <c r="AA573" i="1"/>
  <c r="AB573" i="1"/>
  <c r="AA478" i="1"/>
  <c r="AB478" i="1"/>
  <c r="AA521" i="1"/>
  <c r="AB521" i="1"/>
  <c r="AA497" i="1"/>
  <c r="AB497" i="1"/>
  <c r="AB598" i="1"/>
  <c r="AB697" i="1"/>
  <c r="AB637" i="1"/>
  <c r="AB556" i="1"/>
  <c r="AB517" i="1"/>
  <c r="AB596" i="1"/>
  <c r="AB492" i="1"/>
  <c r="AB670" i="1"/>
  <c r="AB585" i="1"/>
  <c r="AB490" i="1"/>
  <c r="AB423" i="1"/>
  <c r="R142" i="1"/>
  <c r="S142" i="1" s="1"/>
  <c r="X142" i="1" s="1"/>
  <c r="R61" i="1"/>
  <c r="S61" i="1" s="1"/>
  <c r="X61" i="1" s="1"/>
  <c r="R141" i="1"/>
  <c r="S141" i="1" s="1"/>
  <c r="X141" i="1" s="1"/>
  <c r="Z141" i="1" s="1"/>
  <c r="R161" i="1"/>
  <c r="S161" i="1" s="1"/>
  <c r="X161" i="1" s="1"/>
  <c r="Z161" i="1" s="1"/>
  <c r="AA161" i="1" s="1"/>
  <c r="R147" i="1"/>
  <c r="S147" i="1" s="1"/>
  <c r="X147" i="1" s="1"/>
  <c r="Z147" i="1" s="1"/>
  <c r="R154" i="1"/>
  <c r="S154" i="1" s="1"/>
  <c r="X154" i="1" s="1"/>
  <c r="Z154" i="1" s="1"/>
  <c r="AA154" i="1" s="1"/>
  <c r="R261" i="1"/>
  <c r="S261" i="1" s="1"/>
  <c r="X261" i="1" s="1"/>
  <c r="R218" i="1"/>
  <c r="S218" i="1" s="1"/>
  <c r="X218" i="1" s="1"/>
  <c r="R372" i="1"/>
  <c r="S372" i="1" s="1"/>
  <c r="X372" i="1" s="1"/>
  <c r="R358" i="1"/>
  <c r="S358" i="1" s="1"/>
  <c r="X358" i="1" s="1"/>
  <c r="Z358" i="1" s="1"/>
  <c r="R312" i="1"/>
  <c r="S312" i="1" s="1"/>
  <c r="X312" i="1" s="1"/>
  <c r="R67" i="1"/>
  <c r="S67" i="1" s="1"/>
  <c r="X67" i="1" s="1"/>
  <c r="Z67" i="1" s="1"/>
  <c r="AA67" i="1" s="1"/>
  <c r="R68" i="1"/>
  <c r="S68" i="1" s="1"/>
  <c r="X68" i="1" s="1"/>
  <c r="Z68" i="1" s="1"/>
  <c r="R70" i="1"/>
  <c r="S70" i="1" s="1"/>
  <c r="X70" i="1" s="1"/>
  <c r="Z70" i="1" s="1"/>
  <c r="R179" i="1"/>
  <c r="S179" i="1" s="1"/>
  <c r="X179" i="1" s="1"/>
  <c r="R143" i="1"/>
  <c r="S143" i="1" s="1"/>
  <c r="X143" i="1" s="1"/>
  <c r="Z143" i="1" s="1"/>
  <c r="R151" i="1"/>
  <c r="S151" i="1" s="1"/>
  <c r="X151" i="1" s="1"/>
  <c r="R233" i="1"/>
  <c r="S233" i="1" s="1"/>
  <c r="X233" i="1" s="1"/>
  <c r="Z233" i="1" s="1"/>
  <c r="R208" i="1"/>
  <c r="S208" i="1" s="1"/>
  <c r="X208" i="1" s="1"/>
  <c r="Z208" i="1" s="1"/>
  <c r="R330" i="1"/>
  <c r="S330" i="1" s="1"/>
  <c r="X330" i="1" s="1"/>
  <c r="Z330" i="1" s="1"/>
  <c r="R373" i="1"/>
  <c r="S373" i="1" s="1"/>
  <c r="X373" i="1" s="1"/>
  <c r="Z373" i="1" s="1"/>
  <c r="R359" i="1"/>
  <c r="S359" i="1" s="1"/>
  <c r="X359" i="1" s="1"/>
  <c r="Z359" i="1" s="1"/>
  <c r="R348" i="1"/>
  <c r="S348" i="1" s="1"/>
  <c r="X348" i="1" s="1"/>
  <c r="R323" i="1"/>
  <c r="S323" i="1" s="1"/>
  <c r="X323" i="1" s="1"/>
  <c r="Z323" i="1" s="1"/>
  <c r="AA323" i="1" s="1"/>
  <c r="R57" i="1"/>
  <c r="S57" i="1" s="1"/>
  <c r="X57" i="1" s="1"/>
  <c r="Z57" i="1" s="1"/>
  <c r="R104" i="1"/>
  <c r="S104" i="1" s="1"/>
  <c r="X104" i="1" s="1"/>
  <c r="Z104" i="1" s="1"/>
  <c r="R98" i="1"/>
  <c r="S98" i="1" s="1"/>
  <c r="X98" i="1" s="1"/>
  <c r="Z98" i="1" s="1"/>
  <c r="R169" i="1"/>
  <c r="S169" i="1" s="1"/>
  <c r="X169" i="1" s="1"/>
  <c r="Z169" i="1" s="1"/>
  <c r="R140" i="1"/>
  <c r="S140" i="1" s="1"/>
  <c r="X140" i="1" s="1"/>
  <c r="R157" i="1"/>
  <c r="S157" i="1" s="1"/>
  <c r="X157" i="1" s="1"/>
  <c r="Z157" i="1" s="1"/>
  <c r="R209" i="1"/>
  <c r="S209" i="1" s="1"/>
  <c r="X209" i="1" s="1"/>
  <c r="R238" i="1"/>
  <c r="S238" i="1" s="1"/>
  <c r="X238" i="1" s="1"/>
  <c r="Z238" i="1" s="1"/>
  <c r="AA238" i="1" s="1"/>
  <c r="R333" i="1"/>
  <c r="S333" i="1" s="1"/>
  <c r="X333" i="1" s="1"/>
  <c r="Z333" i="1" s="1"/>
  <c r="AA333" i="1" s="1"/>
  <c r="R360" i="1"/>
  <c r="S360" i="1" s="1"/>
  <c r="X360" i="1" s="1"/>
  <c r="R273" i="1"/>
  <c r="S273" i="1" s="1"/>
  <c r="X273" i="1" s="1"/>
  <c r="R319" i="1"/>
  <c r="S319" i="1" s="1"/>
  <c r="X319" i="1" s="1"/>
  <c r="Z319" i="1" s="1"/>
  <c r="AA319" i="1" s="1"/>
  <c r="R281" i="1"/>
  <c r="S281" i="1" s="1"/>
  <c r="X281" i="1" s="1"/>
  <c r="Z281" i="1" s="1"/>
  <c r="R302" i="1"/>
  <c r="S302" i="1" s="1"/>
  <c r="X302" i="1" s="1"/>
  <c r="Z302" i="1" s="1"/>
  <c r="R91" i="1"/>
  <c r="S91" i="1" s="1"/>
  <c r="X91" i="1" s="1"/>
  <c r="R43" i="1"/>
  <c r="S43" i="1" s="1"/>
  <c r="X43" i="1" s="1"/>
  <c r="Z43" i="1" s="1"/>
  <c r="R55" i="1"/>
  <c r="S55" i="1" s="1"/>
  <c r="X55" i="1" s="1"/>
  <c r="Z55" i="1" s="1"/>
  <c r="R124" i="1"/>
  <c r="S124" i="1" s="1"/>
  <c r="X124" i="1" s="1"/>
  <c r="Z124" i="1" s="1"/>
  <c r="AA124" i="1" s="1"/>
  <c r="R45" i="1"/>
  <c r="S45" i="1" s="1"/>
  <c r="X45" i="1" s="1"/>
  <c r="Z45" i="1" s="1"/>
  <c r="R227" i="1"/>
  <c r="S227" i="1" s="1"/>
  <c r="X227" i="1" s="1"/>
  <c r="R224" i="1"/>
  <c r="S224" i="1" s="1"/>
  <c r="X224" i="1" s="1"/>
  <c r="Z224" i="1" s="1"/>
  <c r="R242" i="1"/>
  <c r="S242" i="1" s="1"/>
  <c r="X242" i="1" s="1"/>
  <c r="Z242" i="1" s="1"/>
  <c r="R254" i="1"/>
  <c r="S254" i="1" s="1"/>
  <c r="X254" i="1" s="1"/>
  <c r="R271" i="1"/>
  <c r="S271" i="1" s="1"/>
  <c r="X271" i="1" s="1"/>
  <c r="Z271" i="1" s="1"/>
  <c r="AA271" i="1" s="1"/>
  <c r="R342" i="1"/>
  <c r="S342" i="1" s="1"/>
  <c r="X342" i="1" s="1"/>
  <c r="Z342" i="1" s="1"/>
  <c r="R279" i="1"/>
  <c r="S279" i="1" s="1"/>
  <c r="X279" i="1" s="1"/>
  <c r="Z279" i="1" s="1"/>
  <c r="AA279" i="1" s="1"/>
  <c r="R301" i="1"/>
  <c r="S301" i="1" s="1"/>
  <c r="X301" i="1" s="1"/>
  <c r="Z301" i="1" s="1"/>
  <c r="R182" i="1"/>
  <c r="S182" i="1" s="1"/>
  <c r="X182" i="1" s="1"/>
  <c r="Z182" i="1" s="1"/>
  <c r="R190" i="1"/>
  <c r="S190" i="1" s="1"/>
  <c r="X190" i="1" s="1"/>
  <c r="R265" i="1"/>
  <c r="S265" i="1" s="1"/>
  <c r="X265" i="1" s="1"/>
  <c r="Z265" i="1" s="1"/>
  <c r="AA265" i="1" s="1"/>
  <c r="R337" i="1"/>
  <c r="S337" i="1" s="1"/>
  <c r="X337" i="1" s="1"/>
  <c r="R94" i="1"/>
  <c r="S94" i="1" s="1"/>
  <c r="X94" i="1" s="1"/>
  <c r="Z94" i="1" s="1"/>
  <c r="AA94" i="1" s="1"/>
  <c r="R117" i="1"/>
  <c r="S117" i="1" s="1"/>
  <c r="X117" i="1" s="1"/>
  <c r="Z117" i="1" s="1"/>
  <c r="R92" i="1"/>
  <c r="S92" i="1" s="1"/>
  <c r="X92" i="1" s="1"/>
  <c r="Z92" i="1" s="1"/>
  <c r="R123" i="1"/>
  <c r="S123" i="1" s="1"/>
  <c r="X123" i="1" s="1"/>
  <c r="Z123" i="1" s="1"/>
  <c r="R101" i="1"/>
  <c r="S101" i="1" s="1"/>
  <c r="X101" i="1" s="1"/>
  <c r="Z101" i="1" s="1"/>
  <c r="R79" i="1"/>
  <c r="S79" i="1" s="1"/>
  <c r="X79" i="1" s="1"/>
  <c r="Z79" i="1" s="1"/>
  <c r="AA79" i="1" s="1"/>
  <c r="R186" i="1"/>
  <c r="S186" i="1" s="1"/>
  <c r="X186" i="1" s="1"/>
  <c r="Z186" i="1" s="1"/>
  <c r="R148" i="1"/>
  <c r="S148" i="1" s="1"/>
  <c r="X148" i="1" s="1"/>
  <c r="Z148" i="1" s="1"/>
  <c r="R162" i="1"/>
  <c r="S162" i="1" s="1"/>
  <c r="X162" i="1" s="1"/>
  <c r="Z162" i="1" s="1"/>
  <c r="R223" i="1"/>
  <c r="S223" i="1" s="1"/>
  <c r="X223" i="1" s="1"/>
  <c r="Z223" i="1" s="1"/>
  <c r="R239" i="1"/>
  <c r="S239" i="1" s="1"/>
  <c r="X239" i="1" s="1"/>
  <c r="Z239" i="1" s="1"/>
  <c r="AA239" i="1" s="1"/>
  <c r="R216" i="1"/>
  <c r="S216" i="1" s="1"/>
  <c r="X216" i="1" s="1"/>
  <c r="Z216" i="1" s="1"/>
  <c r="R276" i="1"/>
  <c r="S276" i="1" s="1"/>
  <c r="X276" i="1" s="1"/>
  <c r="R355" i="1"/>
  <c r="S355" i="1" s="1"/>
  <c r="X355" i="1" s="1"/>
  <c r="Z355" i="1" s="1"/>
  <c r="R244" i="1"/>
  <c r="S244" i="1" s="1"/>
  <c r="X244" i="1" s="1"/>
  <c r="Z244" i="1" s="1"/>
  <c r="AA244" i="1" s="1"/>
  <c r="R295" i="1"/>
  <c r="S295" i="1" s="1"/>
  <c r="X295" i="1" s="1"/>
  <c r="Z295" i="1" s="1"/>
  <c r="R320" i="1"/>
  <c r="S320" i="1" s="1"/>
  <c r="X320" i="1" s="1"/>
  <c r="Z320" i="1" s="1"/>
  <c r="R56" i="1"/>
  <c r="S56" i="1" s="1"/>
  <c r="X56" i="1" s="1"/>
  <c r="Z56" i="1" s="1"/>
  <c r="R110" i="1"/>
  <c r="S110" i="1" s="1"/>
  <c r="X110" i="1" s="1"/>
  <c r="Z110" i="1" s="1"/>
  <c r="R122" i="1"/>
  <c r="S122" i="1" s="1"/>
  <c r="X122" i="1" s="1"/>
  <c r="Z122" i="1" s="1"/>
  <c r="R243" i="1"/>
  <c r="S243" i="1" s="1"/>
  <c r="X243" i="1" s="1"/>
  <c r="R149" i="1"/>
  <c r="S149" i="1" s="1"/>
  <c r="X149" i="1" s="1"/>
  <c r="Z149" i="1" s="1"/>
  <c r="AA149" i="1" s="1"/>
  <c r="R167" i="1"/>
  <c r="S167" i="1" s="1"/>
  <c r="X167" i="1" s="1"/>
  <c r="Z167" i="1" s="1"/>
  <c r="R275" i="1"/>
  <c r="S275" i="1" s="1"/>
  <c r="X275" i="1" s="1"/>
  <c r="Z275" i="1" s="1"/>
  <c r="R259" i="1"/>
  <c r="S259" i="1" s="1"/>
  <c r="X259" i="1" s="1"/>
  <c r="Z259" i="1" s="1"/>
  <c r="R269" i="1"/>
  <c r="S269" i="1" s="1"/>
  <c r="X269" i="1" s="1"/>
  <c r="Z269" i="1" s="1"/>
  <c r="R356" i="1"/>
  <c r="S356" i="1" s="1"/>
  <c r="X356" i="1" s="1"/>
  <c r="R267" i="1"/>
  <c r="S267" i="1" s="1"/>
  <c r="X267" i="1" s="1"/>
  <c r="Z267" i="1" s="1"/>
  <c r="R325" i="1"/>
  <c r="S325" i="1" s="1"/>
  <c r="X325" i="1" s="1"/>
  <c r="R299" i="1"/>
  <c r="S299" i="1" s="1"/>
  <c r="X299" i="1" s="1"/>
  <c r="Z299" i="1" s="1"/>
  <c r="R59" i="1"/>
  <c r="S59" i="1" s="1"/>
  <c r="X59" i="1" s="1"/>
  <c r="Z59" i="1" s="1"/>
  <c r="AA59" i="1" s="1"/>
  <c r="R72" i="1"/>
  <c r="S72" i="1" s="1"/>
  <c r="X72" i="1" s="1"/>
  <c r="Z72" i="1" s="1"/>
  <c r="R76" i="1"/>
  <c r="S76" i="1" s="1"/>
  <c r="X76" i="1" s="1"/>
  <c r="Z76" i="1" s="1"/>
  <c r="R165" i="1"/>
  <c r="S165" i="1" s="1"/>
  <c r="X165" i="1" s="1"/>
  <c r="Z165" i="1" s="1"/>
  <c r="R164" i="1"/>
  <c r="S164" i="1" s="1"/>
  <c r="X164" i="1" s="1"/>
  <c r="R230" i="1"/>
  <c r="S230" i="1" s="1"/>
  <c r="X230" i="1" s="1"/>
  <c r="Z230" i="1" s="1"/>
  <c r="R368" i="1"/>
  <c r="S368" i="1" s="1"/>
  <c r="X368" i="1" s="1"/>
  <c r="Z368" i="1" s="1"/>
  <c r="R246" i="1"/>
  <c r="S246" i="1" s="1"/>
  <c r="X246" i="1" s="1"/>
  <c r="Z246" i="1" s="1"/>
  <c r="R339" i="1"/>
  <c r="S339" i="1" s="1"/>
  <c r="X339" i="1" s="1"/>
  <c r="Z339" i="1" s="1"/>
  <c r="AA339" i="1" s="1"/>
  <c r="R316" i="1"/>
  <c r="S316" i="1" s="1"/>
  <c r="X316" i="1" s="1"/>
  <c r="Z316" i="1" s="1"/>
  <c r="R86" i="1"/>
  <c r="S86" i="1" s="1"/>
  <c r="X86" i="1" s="1"/>
  <c r="Z86" i="1" s="1"/>
  <c r="AA86" i="1" s="1"/>
  <c r="R78" i="1"/>
  <c r="S78" i="1" s="1"/>
  <c r="X78" i="1" s="1"/>
  <c r="Z78" i="1" s="1"/>
  <c r="R95" i="1"/>
  <c r="S95" i="1" s="1"/>
  <c r="X95" i="1" s="1"/>
  <c r="Z95" i="1" s="1"/>
  <c r="R146" i="1"/>
  <c r="S146" i="1" s="1"/>
  <c r="X146" i="1" s="1"/>
  <c r="Z146" i="1" s="1"/>
  <c r="R189" i="1"/>
  <c r="S189" i="1" s="1"/>
  <c r="X189" i="1" s="1"/>
  <c r="Z189" i="1" s="1"/>
  <c r="R159" i="1"/>
  <c r="S159" i="1" s="1"/>
  <c r="X159" i="1" s="1"/>
  <c r="Z159" i="1" s="1"/>
  <c r="R221" i="1"/>
  <c r="S221" i="1" s="1"/>
  <c r="X221" i="1" s="1"/>
  <c r="R237" i="1"/>
  <c r="S237" i="1" s="1"/>
  <c r="X237" i="1" s="1"/>
  <c r="Z237" i="1" s="1"/>
  <c r="R354" i="1"/>
  <c r="S354" i="1" s="1"/>
  <c r="X354" i="1" s="1"/>
  <c r="Z354" i="1" s="1"/>
  <c r="AA354" i="1" s="1"/>
  <c r="R317" i="1"/>
  <c r="S317" i="1" s="1"/>
  <c r="X317" i="1" s="1"/>
  <c r="Z317" i="1" s="1"/>
  <c r="R311" i="1"/>
  <c r="S311" i="1" s="1"/>
  <c r="X311" i="1" s="1"/>
  <c r="Z311" i="1" s="1"/>
  <c r="AA311" i="1" s="1"/>
  <c r="R41" i="1"/>
  <c r="S41" i="1" s="1"/>
  <c r="X41" i="1" s="1"/>
  <c r="Z41" i="1" s="1"/>
  <c r="R87" i="1"/>
  <c r="S87" i="1" s="1"/>
  <c r="X87" i="1" s="1"/>
  <c r="Z87" i="1" s="1"/>
  <c r="R99" i="1"/>
  <c r="S99" i="1" s="1"/>
  <c r="X99" i="1" s="1"/>
  <c r="Z99" i="1" s="1"/>
  <c r="R40" i="1"/>
  <c r="S40" i="1" s="1"/>
  <c r="X40" i="1" s="1"/>
  <c r="Z40" i="1" s="1"/>
  <c r="R268" i="1"/>
  <c r="S268" i="1" s="1"/>
  <c r="X268" i="1" s="1"/>
  <c r="Z268" i="1" s="1"/>
  <c r="AA268" i="1" s="1"/>
  <c r="R309" i="1"/>
  <c r="S309" i="1" s="1"/>
  <c r="X309" i="1" s="1"/>
  <c r="Z309" i="1" s="1"/>
  <c r="AA309" i="1" s="1"/>
  <c r="R304" i="1"/>
  <c r="S304" i="1" s="1"/>
  <c r="X304" i="1" s="1"/>
  <c r="Z304" i="1" s="1"/>
  <c r="R112" i="1"/>
  <c r="S112" i="1" s="1"/>
  <c r="X112" i="1" s="1"/>
  <c r="Z112" i="1" s="1"/>
  <c r="R83" i="1"/>
  <c r="S83" i="1" s="1"/>
  <c r="X83" i="1" s="1"/>
  <c r="Z83" i="1" s="1"/>
  <c r="R63" i="1"/>
  <c r="S63" i="1" s="1"/>
  <c r="X63" i="1" s="1"/>
  <c r="Z63" i="1" s="1"/>
  <c r="AA63" i="1" s="1"/>
  <c r="R120" i="1"/>
  <c r="S120" i="1" s="1"/>
  <c r="X120" i="1" s="1"/>
  <c r="Z120" i="1" s="1"/>
  <c r="AA120" i="1" s="1"/>
  <c r="R171" i="1"/>
  <c r="S171" i="1" s="1"/>
  <c r="X171" i="1" s="1"/>
  <c r="Z171" i="1" s="1"/>
  <c r="R166" i="1"/>
  <c r="S166" i="1" s="1"/>
  <c r="X166" i="1" s="1"/>
  <c r="R229" i="1"/>
  <c r="S229" i="1" s="1"/>
  <c r="X229" i="1" s="1"/>
  <c r="Z229" i="1" s="1"/>
  <c r="R260" i="1"/>
  <c r="S260" i="1" s="1"/>
  <c r="X260" i="1" s="1"/>
  <c r="Z260" i="1" s="1"/>
  <c r="AA260" i="1" s="1"/>
  <c r="R252" i="1"/>
  <c r="S252" i="1" s="1"/>
  <c r="X252" i="1" s="1"/>
  <c r="Z252" i="1" s="1"/>
  <c r="R247" i="1"/>
  <c r="S247" i="1" s="1"/>
  <c r="X247" i="1" s="1"/>
  <c r="Z247" i="1" s="1"/>
  <c r="R350" i="1"/>
  <c r="S350" i="1" s="1"/>
  <c r="X350" i="1" s="1"/>
  <c r="Z350" i="1" s="1"/>
  <c r="AA350" i="1" s="1"/>
  <c r="R294" i="1"/>
  <c r="S294" i="1" s="1"/>
  <c r="X294" i="1" s="1"/>
  <c r="R292" i="1"/>
  <c r="S292" i="1" s="1"/>
  <c r="X292" i="1" s="1"/>
  <c r="Z292" i="1" s="1"/>
  <c r="R289" i="1"/>
  <c r="S289" i="1" s="1"/>
  <c r="X289" i="1" s="1"/>
  <c r="Z289" i="1" s="1"/>
  <c r="AA289" i="1" s="1"/>
  <c r="R73" i="1"/>
  <c r="S73" i="1" s="1"/>
  <c r="X73" i="1" s="1"/>
  <c r="Z73" i="1" s="1"/>
  <c r="R82" i="1"/>
  <c r="S82" i="1" s="1"/>
  <c r="X82" i="1" s="1"/>
  <c r="Z82" i="1" s="1"/>
  <c r="AA82" i="1" s="1"/>
  <c r="R80" i="1"/>
  <c r="S80" i="1" s="1"/>
  <c r="X80" i="1" s="1"/>
  <c r="Z80" i="1" s="1"/>
  <c r="R89" i="1"/>
  <c r="S89" i="1" s="1"/>
  <c r="X89" i="1" s="1"/>
  <c r="Z89" i="1" s="1"/>
  <c r="R150" i="1"/>
  <c r="S150" i="1" s="1"/>
  <c r="X150" i="1" s="1"/>
  <c r="Z150" i="1" s="1"/>
  <c r="R180" i="1"/>
  <c r="S180" i="1" s="1"/>
  <c r="X180" i="1" s="1"/>
  <c r="R199" i="1"/>
  <c r="S199" i="1" s="1"/>
  <c r="X199" i="1" s="1"/>
  <c r="Z199" i="1" s="1"/>
  <c r="R253" i="1"/>
  <c r="S253" i="1" s="1"/>
  <c r="X253" i="1" s="1"/>
  <c r="R349" i="1"/>
  <c r="S349" i="1" s="1"/>
  <c r="X349" i="1" s="1"/>
  <c r="Z349" i="1" s="1"/>
  <c r="R235" i="1"/>
  <c r="S235" i="1" s="1"/>
  <c r="X235" i="1" s="1"/>
  <c r="Z235" i="1" s="1"/>
  <c r="AA235" i="1" s="1"/>
  <c r="R287" i="1"/>
  <c r="S287" i="1" s="1"/>
  <c r="X287" i="1" s="1"/>
  <c r="Z287" i="1" s="1"/>
  <c r="R272" i="1"/>
  <c r="S272" i="1" s="1"/>
  <c r="X272" i="1" s="1"/>
  <c r="Z272" i="1" s="1"/>
  <c r="R352" i="1"/>
  <c r="S352" i="1" s="1"/>
  <c r="X352" i="1" s="1"/>
  <c r="Z352" i="1" s="1"/>
  <c r="R282" i="1"/>
  <c r="S282" i="1" s="1"/>
  <c r="X282" i="1" s="1"/>
  <c r="R291" i="1"/>
  <c r="S291" i="1" s="1"/>
  <c r="X291" i="1" s="1"/>
  <c r="Z291" i="1" s="1"/>
  <c r="AA291" i="1" s="1"/>
  <c r="R75" i="1"/>
  <c r="S75" i="1" s="1"/>
  <c r="X75" i="1" s="1"/>
  <c r="Z75" i="1" s="1"/>
  <c r="R74" i="1"/>
  <c r="S74" i="1" s="1"/>
  <c r="X74" i="1" s="1"/>
  <c r="R250" i="1"/>
  <c r="S250" i="1" s="1"/>
  <c r="X250" i="1" s="1"/>
  <c r="Z250" i="1" s="1"/>
  <c r="R236" i="1"/>
  <c r="S236" i="1" s="1"/>
  <c r="X236" i="1" s="1"/>
  <c r="R264" i="1"/>
  <c r="S264" i="1" s="1"/>
  <c r="X264" i="1" s="1"/>
  <c r="Z264" i="1" s="1"/>
  <c r="R326" i="1"/>
  <c r="S326" i="1" s="1"/>
  <c r="X326" i="1" s="1"/>
  <c r="R278" i="1"/>
  <c r="S278" i="1" s="1"/>
  <c r="X278" i="1" s="1"/>
  <c r="Z278" i="1" s="1"/>
  <c r="R336" i="1"/>
  <c r="S336" i="1" s="1"/>
  <c r="X336" i="1" s="1"/>
  <c r="Z336" i="1" s="1"/>
  <c r="AA336" i="1" s="1"/>
  <c r="R303" i="1"/>
  <c r="S303" i="1" s="1"/>
  <c r="X303" i="1" s="1"/>
  <c r="Z303" i="1" s="1"/>
  <c r="R341" i="1"/>
  <c r="S341" i="1" s="1"/>
  <c r="X341" i="1" s="1"/>
  <c r="R88" i="1"/>
  <c r="S88" i="1" s="1"/>
  <c r="X88" i="1" s="1"/>
  <c r="R71" i="1"/>
  <c r="S71" i="1" s="1"/>
  <c r="X71" i="1" s="1"/>
  <c r="Z71" i="1" s="1"/>
  <c r="AA71" i="1" s="1"/>
  <c r="R100" i="1"/>
  <c r="S100" i="1" s="1"/>
  <c r="X100" i="1" s="1"/>
  <c r="Z100" i="1" s="1"/>
  <c r="AA100" i="1" s="1"/>
  <c r="R188" i="1"/>
  <c r="S188" i="1" s="1"/>
  <c r="X188" i="1" s="1"/>
  <c r="Z188" i="1" s="1"/>
  <c r="R139" i="1"/>
  <c r="S139" i="1" s="1"/>
  <c r="X139" i="1" s="1"/>
  <c r="Z139" i="1" s="1"/>
  <c r="AA139" i="1" s="1"/>
  <c r="R232" i="1"/>
  <c r="S232" i="1" s="1"/>
  <c r="X232" i="1" s="1"/>
  <c r="Z232" i="1" s="1"/>
  <c r="R222" i="1"/>
  <c r="S222" i="1" s="1"/>
  <c r="X222" i="1" s="1"/>
  <c r="R212" i="1"/>
  <c r="S212" i="1" s="1"/>
  <c r="X212" i="1" s="1"/>
  <c r="Z212" i="1" s="1"/>
  <c r="R369" i="1"/>
  <c r="S369" i="1" s="1"/>
  <c r="X369" i="1" s="1"/>
  <c r="R308" i="1"/>
  <c r="S308" i="1" s="1"/>
  <c r="X308" i="1" s="1"/>
  <c r="Z308" i="1" s="1"/>
  <c r="R277" i="1"/>
  <c r="S277" i="1" s="1"/>
  <c r="X277" i="1" s="1"/>
  <c r="R324" i="1"/>
  <c r="S324" i="1" s="1"/>
  <c r="X324" i="1" s="1"/>
  <c r="Z324" i="1" s="1"/>
  <c r="R144" i="1"/>
  <c r="S144" i="1" s="1"/>
  <c r="X144" i="1" s="1"/>
  <c r="Z144" i="1" s="1"/>
  <c r="R145" i="1"/>
  <c r="S145" i="1" s="1"/>
  <c r="X145" i="1" s="1"/>
  <c r="Z145" i="1" s="1"/>
  <c r="AA145" i="1" s="1"/>
  <c r="R116" i="1"/>
  <c r="S116" i="1" s="1"/>
  <c r="X116" i="1" s="1"/>
  <c r="Z116" i="1" s="1"/>
  <c r="R65" i="1"/>
  <c r="S65" i="1" s="1"/>
  <c r="X65" i="1" s="1"/>
  <c r="R226" i="1"/>
  <c r="S226" i="1" s="1"/>
  <c r="X226" i="1" s="1"/>
  <c r="Z226" i="1" s="1"/>
  <c r="AA226" i="1" s="1"/>
  <c r="R81" i="1"/>
  <c r="S81" i="1" s="1"/>
  <c r="X81" i="1" s="1"/>
  <c r="Z81" i="1" s="1"/>
  <c r="R103" i="1"/>
  <c r="S103" i="1" s="1"/>
  <c r="X103" i="1" s="1"/>
  <c r="Z103" i="1" s="1"/>
  <c r="R111" i="1"/>
  <c r="S111" i="1" s="1"/>
  <c r="X111" i="1" s="1"/>
  <c r="R155" i="1"/>
  <c r="S155" i="1" s="1"/>
  <c r="X155" i="1" s="1"/>
  <c r="Z155" i="1" s="1"/>
  <c r="R178" i="1"/>
  <c r="S178" i="1" s="1"/>
  <c r="X178" i="1" s="1"/>
  <c r="Z178" i="1" s="1"/>
  <c r="AA178" i="1" s="1"/>
  <c r="R220" i="1"/>
  <c r="S220" i="1" s="1"/>
  <c r="X220" i="1" s="1"/>
  <c r="Z220" i="1" s="1"/>
  <c r="R258" i="1"/>
  <c r="S258" i="1" s="1"/>
  <c r="X258" i="1" s="1"/>
  <c r="R357" i="1"/>
  <c r="S357" i="1" s="1"/>
  <c r="X357" i="1" s="1"/>
  <c r="Z357" i="1" s="1"/>
  <c r="R363" i="1"/>
  <c r="S363" i="1" s="1"/>
  <c r="X363" i="1" s="1"/>
  <c r="R334" i="1"/>
  <c r="S334" i="1" s="1"/>
  <c r="X334" i="1" s="1"/>
  <c r="Z334" i="1" s="1"/>
  <c r="R322" i="1"/>
  <c r="S322" i="1" s="1"/>
  <c r="X322" i="1" s="1"/>
  <c r="R298" i="1"/>
  <c r="S298" i="1" s="1"/>
  <c r="X298" i="1" s="1"/>
  <c r="Z298" i="1" s="1"/>
  <c r="R77" i="1"/>
  <c r="S77" i="1" s="1"/>
  <c r="X77" i="1" s="1"/>
  <c r="Z77" i="1" s="1"/>
  <c r="AA77" i="1" s="1"/>
  <c r="R93" i="1"/>
  <c r="S93" i="1" s="1"/>
  <c r="X93" i="1" s="1"/>
  <c r="Z93" i="1" s="1"/>
  <c r="R49" i="1"/>
  <c r="S49" i="1" s="1"/>
  <c r="X49" i="1" s="1"/>
  <c r="Z49" i="1" s="1"/>
  <c r="R90" i="1"/>
  <c r="S90" i="1" s="1"/>
  <c r="X90" i="1" s="1"/>
  <c r="Z90" i="1" s="1"/>
  <c r="AB90" i="1" s="1"/>
  <c r="R168" i="1"/>
  <c r="S168" i="1" s="1"/>
  <c r="X168" i="1" s="1"/>
  <c r="Z168" i="1" s="1"/>
  <c r="AA168" i="1" s="1"/>
  <c r="R187" i="1"/>
  <c r="S187" i="1" s="1"/>
  <c r="X187" i="1" s="1"/>
  <c r="R206" i="1"/>
  <c r="S206" i="1" s="1"/>
  <c r="X206" i="1" s="1"/>
  <c r="R245" i="1"/>
  <c r="S245" i="1" s="1"/>
  <c r="X245" i="1" s="1"/>
  <c r="Z245" i="1" s="1"/>
  <c r="R215" i="1"/>
  <c r="S215" i="1" s="1"/>
  <c r="X215" i="1" s="1"/>
  <c r="Z215" i="1" s="1"/>
  <c r="R241" i="1"/>
  <c r="S241" i="1" s="1"/>
  <c r="X241" i="1" s="1"/>
  <c r="Z241" i="1" s="1"/>
  <c r="R351" i="1"/>
  <c r="S351" i="1" s="1"/>
  <c r="X351" i="1" s="1"/>
  <c r="R290" i="1"/>
  <c r="S290" i="1" s="1"/>
  <c r="X290" i="1" s="1"/>
  <c r="Z290" i="1" s="1"/>
  <c r="AA290" i="1" s="1"/>
  <c r="R314" i="1"/>
  <c r="S314" i="1" s="1"/>
  <c r="X314" i="1" s="1"/>
  <c r="Z314" i="1" s="1"/>
  <c r="R109" i="1"/>
  <c r="S109" i="1" s="1"/>
  <c r="X109" i="1" s="1"/>
  <c r="Z109" i="1" s="1"/>
  <c r="AA109" i="1" s="1"/>
  <c r="R102" i="1"/>
  <c r="S102" i="1" s="1"/>
  <c r="X102" i="1" s="1"/>
  <c r="R60" i="1"/>
  <c r="S60" i="1" s="1"/>
  <c r="X60" i="1" s="1"/>
  <c r="Z60" i="1" s="1"/>
  <c r="R107" i="1"/>
  <c r="S107" i="1" s="1"/>
  <c r="X107" i="1" s="1"/>
  <c r="Z107" i="1" s="1"/>
  <c r="R183" i="1"/>
  <c r="S183" i="1" s="1"/>
  <c r="X183" i="1" s="1"/>
  <c r="Z183" i="1" s="1"/>
  <c r="R181" i="1"/>
  <c r="S181" i="1" s="1"/>
  <c r="X181" i="1" s="1"/>
  <c r="R213" i="1"/>
  <c r="S213" i="1" s="1"/>
  <c r="X213" i="1" s="1"/>
  <c r="Z213" i="1" s="1"/>
  <c r="AA213" i="1" s="1"/>
  <c r="R366" i="1"/>
  <c r="S366" i="1" s="1"/>
  <c r="X366" i="1" s="1"/>
  <c r="Z366" i="1" s="1"/>
  <c r="R262" i="1"/>
  <c r="S262" i="1" s="1"/>
  <c r="X262" i="1" s="1"/>
  <c r="Z262" i="1" s="1"/>
  <c r="R353" i="1"/>
  <c r="S353" i="1" s="1"/>
  <c r="X353" i="1" s="1"/>
  <c r="R305" i="1"/>
  <c r="S305" i="1" s="1"/>
  <c r="X305" i="1" s="1"/>
  <c r="Z305" i="1" s="1"/>
  <c r="AB306" i="1" s="1"/>
  <c r="R307" i="1"/>
  <c r="S307" i="1" s="1"/>
  <c r="X307" i="1" s="1"/>
  <c r="Z307" i="1" s="1"/>
  <c r="R84" i="1"/>
  <c r="S84" i="1" s="1"/>
  <c r="X84" i="1" s="1"/>
  <c r="Z84" i="1" s="1"/>
  <c r="R69" i="1"/>
  <c r="S69" i="1" s="1"/>
  <c r="X69" i="1" s="1"/>
  <c r="Z69" i="1" s="1"/>
  <c r="R39" i="1"/>
  <c r="S39" i="1" s="1"/>
  <c r="X39" i="1" s="1"/>
  <c r="Z39" i="1" s="1"/>
  <c r="AA39" i="1" s="1"/>
  <c r="R50" i="1"/>
  <c r="S50" i="1" s="1"/>
  <c r="X50" i="1" s="1"/>
  <c r="Z50" i="1" s="1"/>
  <c r="AA50" i="1" s="1"/>
  <c r="R97" i="1"/>
  <c r="S97" i="1" s="1"/>
  <c r="X97" i="1" s="1"/>
  <c r="Z97" i="1" s="1"/>
  <c r="AA97" i="1" s="1"/>
  <c r="R105" i="1"/>
  <c r="S105" i="1" s="1"/>
  <c r="X105" i="1" s="1"/>
  <c r="Z105" i="1" s="1"/>
  <c r="R185" i="1"/>
  <c r="S185" i="1" s="1"/>
  <c r="X185" i="1" s="1"/>
  <c r="Z185" i="1" s="1"/>
  <c r="AA185" i="1" s="1"/>
  <c r="R160" i="1"/>
  <c r="S160" i="1" s="1"/>
  <c r="X160" i="1" s="1"/>
  <c r="Z160" i="1" s="1"/>
  <c r="R214" i="1"/>
  <c r="S214" i="1" s="1"/>
  <c r="X214" i="1" s="1"/>
  <c r="Z214" i="1" s="1"/>
  <c r="R228" i="1"/>
  <c r="S228" i="1" s="1"/>
  <c r="X228" i="1" s="1"/>
  <c r="R367" i="1"/>
  <c r="S367" i="1" s="1"/>
  <c r="X367" i="1" s="1"/>
  <c r="Z367" i="1" s="1"/>
  <c r="AA367" i="1" s="1"/>
  <c r="R347" i="1"/>
  <c r="S347" i="1" s="1"/>
  <c r="X347" i="1" s="1"/>
  <c r="Z347" i="1" s="1"/>
  <c r="R297" i="1"/>
  <c r="S297" i="1" s="1"/>
  <c r="X297" i="1" s="1"/>
  <c r="Z297" i="1" s="1"/>
  <c r="AA297" i="1" s="1"/>
  <c r="R284" i="1"/>
  <c r="S284" i="1" s="1"/>
  <c r="X284" i="1" s="1"/>
  <c r="R131" i="1"/>
  <c r="S131" i="1" s="1"/>
  <c r="X131" i="1" s="1"/>
  <c r="Z131" i="1" s="1"/>
  <c r="R106" i="1"/>
  <c r="S106" i="1" s="1"/>
  <c r="X106" i="1" s="1"/>
  <c r="Z106" i="1" s="1"/>
  <c r="AB106" i="1" s="1"/>
  <c r="R127" i="1"/>
  <c r="S127" i="1" s="1"/>
  <c r="X127" i="1" s="1"/>
  <c r="Z127" i="1" s="1"/>
  <c r="AA127" i="1" s="1"/>
  <c r="R274" i="1"/>
  <c r="S274" i="1" s="1"/>
  <c r="R285" i="1"/>
  <c r="S285" i="1" s="1"/>
  <c r="X285" i="1" s="1"/>
  <c r="R321" i="1"/>
  <c r="S321" i="1" s="1"/>
  <c r="X321" i="1" s="1"/>
  <c r="Z321" i="1" s="1"/>
  <c r="AA321" i="1" s="1"/>
  <c r="R327" i="1"/>
  <c r="S327" i="1" s="1"/>
  <c r="X327" i="1" s="1"/>
  <c r="Z327" i="1" s="1"/>
  <c r="AA327" i="1" s="1"/>
  <c r="R288" i="1"/>
  <c r="S288" i="1" s="1"/>
  <c r="X288" i="1" s="1"/>
  <c r="R328" i="1"/>
  <c r="S328" i="1" s="1"/>
  <c r="X328" i="1" s="1"/>
  <c r="Z328" i="1" s="1"/>
  <c r="R364" i="1"/>
  <c r="S364" i="1" s="1"/>
  <c r="X364" i="1" s="1"/>
  <c r="Z364" i="1" s="1"/>
  <c r="AA364" i="1" s="1"/>
  <c r="R365" i="1"/>
  <c r="S365" i="1" s="1"/>
  <c r="X365" i="1" s="1"/>
  <c r="Z365" i="1" s="1"/>
  <c r="R256" i="1"/>
  <c r="S256" i="1" s="1"/>
  <c r="R370" i="1"/>
  <c r="S370" i="1" s="1"/>
  <c r="X370" i="1" s="1"/>
  <c r="Z370" i="1" s="1"/>
  <c r="R283" i="1"/>
  <c r="S283" i="1" s="1"/>
  <c r="X283" i="1" s="1"/>
  <c r="Z283" i="1" s="1"/>
  <c r="R280" i="1"/>
  <c r="S280" i="1" s="1"/>
  <c r="X280" i="1" s="1"/>
  <c r="Z280" i="1" s="1"/>
  <c r="R174" i="1"/>
  <c r="S174" i="1" s="1"/>
  <c r="X174" i="1" s="1"/>
  <c r="R204" i="1"/>
  <c r="S204" i="1" s="1"/>
  <c r="X204" i="1" s="1"/>
  <c r="Z204" i="1" s="1"/>
  <c r="AA204" i="1" s="1"/>
  <c r="R184" i="1"/>
  <c r="S184" i="1" s="1"/>
  <c r="X184" i="1" s="1"/>
  <c r="Z184" i="1" s="1"/>
  <c r="AA184" i="1" s="1"/>
  <c r="R249" i="1"/>
  <c r="S249" i="1" s="1"/>
  <c r="X249" i="1" s="1"/>
  <c r="R219" i="1"/>
  <c r="S219" i="1" s="1"/>
  <c r="X219" i="1" s="1"/>
  <c r="R361" i="1"/>
  <c r="S361" i="1" s="1"/>
  <c r="X361" i="1" s="1"/>
  <c r="R207" i="1"/>
  <c r="S207" i="1" s="1"/>
  <c r="X207" i="1" s="1"/>
  <c r="Z207" i="1" s="1"/>
  <c r="R170" i="1"/>
  <c r="S170" i="1" s="1"/>
  <c r="X170" i="1" s="1"/>
  <c r="Z170" i="1" s="1"/>
  <c r="R263" i="1"/>
  <c r="S263" i="1" s="1"/>
  <c r="X263" i="1" s="1"/>
  <c r="Z263" i="1" s="1"/>
  <c r="R176" i="1"/>
  <c r="S176" i="1" s="1"/>
  <c r="X176" i="1" s="1"/>
  <c r="R193" i="1"/>
  <c r="S193" i="1" s="1"/>
  <c r="X193" i="1" s="1"/>
  <c r="Z193" i="1" s="1"/>
  <c r="R135" i="1"/>
  <c r="S135" i="1" s="1"/>
  <c r="X135" i="1" s="1"/>
  <c r="R194" i="1"/>
  <c r="S194" i="1" s="1"/>
  <c r="X194" i="1" s="1"/>
  <c r="Z194" i="1" s="1"/>
  <c r="R163" i="1"/>
  <c r="S163" i="1" s="1"/>
  <c r="X163" i="1" s="1"/>
  <c r="Z163" i="1" s="1"/>
  <c r="R240" i="1"/>
  <c r="S240" i="1" s="1"/>
  <c r="X240" i="1" s="1"/>
  <c r="Z240" i="1" s="1"/>
  <c r="R202" i="1"/>
  <c r="S202" i="1" s="1"/>
  <c r="X202" i="1" s="1"/>
  <c r="R134" i="1"/>
  <c r="S134" i="1" s="1"/>
  <c r="X134" i="1" s="1"/>
  <c r="Z134" i="1" s="1"/>
  <c r="R205" i="1"/>
  <c r="S205" i="1" s="1"/>
  <c r="X205" i="1" s="1"/>
  <c r="Z205" i="1" s="1"/>
  <c r="R125" i="1"/>
  <c r="S125" i="1" s="1"/>
  <c r="X125" i="1" s="1"/>
  <c r="Z125" i="1" s="1"/>
  <c r="R153" i="1"/>
  <c r="S153" i="1" s="1"/>
  <c r="X153" i="1" s="1"/>
  <c r="Z153" i="1" s="1"/>
  <c r="R158" i="1"/>
  <c r="S158" i="1" s="1"/>
  <c r="X158" i="1" s="1"/>
  <c r="R85" i="1"/>
  <c r="S85" i="1" s="1"/>
  <c r="X85" i="1" s="1"/>
  <c r="Z85" i="1" s="1"/>
  <c r="R173" i="1"/>
  <c r="S173" i="1" s="1"/>
  <c r="X173" i="1" s="1"/>
  <c r="Z173" i="1" s="1"/>
  <c r="R132" i="1"/>
  <c r="S132" i="1" s="1"/>
  <c r="X132" i="1" s="1"/>
  <c r="R66" i="1"/>
  <c r="S66" i="1" s="1"/>
  <c r="X66" i="1" s="1"/>
  <c r="Z66" i="1" s="1"/>
  <c r="R138" i="1"/>
  <c r="S138" i="1" s="1"/>
  <c r="X138" i="1" s="1"/>
  <c r="Z138" i="1" s="1"/>
  <c r="AA138" i="1" s="1"/>
  <c r="R53" i="1"/>
  <c r="S53" i="1" s="1"/>
  <c r="X53" i="1" s="1"/>
  <c r="Z53" i="1" s="1"/>
  <c r="R172" i="1"/>
  <c r="S172" i="1" s="1"/>
  <c r="X172" i="1" s="1"/>
  <c r="Z172" i="1" s="1"/>
  <c r="R44" i="1"/>
  <c r="S44" i="1" s="1"/>
  <c r="X44" i="1" s="1"/>
  <c r="Z44" i="1" s="1"/>
  <c r="R133" i="1"/>
  <c r="S133" i="1" s="1"/>
  <c r="X133" i="1" s="1"/>
  <c r="Z133" i="1" s="1"/>
  <c r="AA133" i="1" s="1"/>
  <c r="R115" i="1"/>
  <c r="S115" i="1" s="1"/>
  <c r="X115" i="1" s="1"/>
  <c r="Z115" i="1" s="1"/>
  <c r="AA115" i="1" s="1"/>
  <c r="R62" i="1"/>
  <c r="S62" i="1" s="1"/>
  <c r="X62" i="1" s="1"/>
  <c r="Z62" i="1" s="1"/>
  <c r="R46" i="1"/>
  <c r="S46" i="1" s="1"/>
  <c r="X46" i="1" s="1"/>
  <c r="Z46" i="1" s="1"/>
  <c r="R42" i="1"/>
  <c r="S42" i="1" s="1"/>
  <c r="X42" i="1" s="1"/>
  <c r="Z42" i="1" s="1"/>
  <c r="AA42" i="1" s="1"/>
  <c r="R96" i="1"/>
  <c r="S96" i="1" s="1"/>
  <c r="X96" i="1" s="1"/>
  <c r="Z96" i="1" s="1"/>
  <c r="R340" i="1"/>
  <c r="S340" i="1" s="1"/>
  <c r="R331" i="1"/>
  <c r="S331" i="1" s="1"/>
  <c r="R343" i="1"/>
  <c r="S343" i="1" s="1"/>
  <c r="X343" i="1" s="1"/>
  <c r="Z343" i="1" s="1"/>
  <c r="R310" i="1"/>
  <c r="S310" i="1" s="1"/>
  <c r="X310" i="1" s="1"/>
  <c r="Z310" i="1" s="1"/>
  <c r="AA310" i="1" s="1"/>
  <c r="R338" i="1"/>
  <c r="S338" i="1" s="1"/>
  <c r="X338" i="1" s="1"/>
  <c r="Z338" i="1" s="1"/>
  <c r="R296" i="1"/>
  <c r="S296" i="1" s="1"/>
  <c r="X296" i="1" s="1"/>
  <c r="R315" i="1"/>
  <c r="S315" i="1" s="1"/>
  <c r="X315" i="1" s="1"/>
  <c r="Z315" i="1" s="1"/>
  <c r="AA315" i="1" s="1"/>
  <c r="R329" i="1"/>
  <c r="S329" i="1" s="1"/>
  <c r="X329" i="1" s="1"/>
  <c r="Z329" i="1" s="1"/>
  <c r="AA329" i="1" s="1"/>
  <c r="R266" i="1"/>
  <c r="S266" i="1" s="1"/>
  <c r="X266" i="1" s="1"/>
  <c r="Z266" i="1" s="1"/>
  <c r="R332" i="1"/>
  <c r="S332" i="1" s="1"/>
  <c r="X332" i="1" s="1"/>
  <c r="Z332" i="1" s="1"/>
  <c r="R335" i="1"/>
  <c r="S335" i="1" s="1"/>
  <c r="X335" i="1" s="1"/>
  <c r="Z335" i="1" s="1"/>
  <c r="R255" i="1"/>
  <c r="S255" i="1" s="1"/>
  <c r="X255" i="1" s="1"/>
  <c r="Z255" i="1" s="1"/>
  <c r="R257" i="1"/>
  <c r="S257" i="1" s="1"/>
  <c r="X257" i="1" s="1"/>
  <c r="R196" i="1"/>
  <c r="S196" i="1" s="1"/>
  <c r="X196" i="1" s="1"/>
  <c r="R211" i="1"/>
  <c r="S211" i="1" s="1"/>
  <c r="X211" i="1" s="1"/>
  <c r="Z211" i="1" s="1"/>
  <c r="AA211" i="1" s="1"/>
  <c r="R225" i="1"/>
  <c r="S225" i="1" s="1"/>
  <c r="X225" i="1" s="1"/>
  <c r="Z225" i="1" s="1"/>
  <c r="R251" i="1"/>
  <c r="S251" i="1" s="1"/>
  <c r="X251" i="1" s="1"/>
  <c r="Z251" i="1" s="1"/>
  <c r="R201" i="1"/>
  <c r="S201" i="1" s="1"/>
  <c r="X201" i="1" s="1"/>
  <c r="R248" i="1"/>
  <c r="S248" i="1" s="1"/>
  <c r="X248" i="1" s="1"/>
  <c r="Z248" i="1" s="1"/>
  <c r="AA248" i="1" s="1"/>
  <c r="R210" i="1"/>
  <c r="S210" i="1" s="1"/>
  <c r="X210" i="1" s="1"/>
  <c r="Z210" i="1" s="1"/>
  <c r="R203" i="1"/>
  <c r="S203" i="1" s="1"/>
  <c r="X203" i="1" s="1"/>
  <c r="Z203" i="1" s="1"/>
  <c r="R192" i="1"/>
  <c r="S192" i="1" s="1"/>
  <c r="X192" i="1" s="1"/>
  <c r="R197" i="1"/>
  <c r="S197" i="1" s="1"/>
  <c r="X197" i="1" s="1"/>
  <c r="Z197" i="1" s="1"/>
  <c r="R177" i="1"/>
  <c r="S177" i="1" s="1"/>
  <c r="X177" i="1" s="1"/>
  <c r="Z177" i="1" s="1"/>
  <c r="R200" i="1"/>
  <c r="S200" i="1" s="1"/>
  <c r="X200" i="1" s="1"/>
  <c r="Z200" i="1" s="1"/>
  <c r="R118" i="1"/>
  <c r="S118" i="1" s="1"/>
  <c r="X118" i="1" s="1"/>
  <c r="Z118" i="1" s="1"/>
  <c r="AA118" i="1" s="1"/>
  <c r="R128" i="1"/>
  <c r="S128" i="1" s="1"/>
  <c r="X128" i="1" s="1"/>
  <c r="Z128" i="1" s="1"/>
  <c r="R119" i="1"/>
  <c r="S119" i="1" s="1"/>
  <c r="X119" i="1" s="1"/>
  <c r="Z119" i="1" s="1"/>
  <c r="R195" i="1"/>
  <c r="S195" i="1" s="1"/>
  <c r="X195" i="1" s="1"/>
  <c r="Z195" i="1" s="1"/>
  <c r="R156" i="1"/>
  <c r="S156" i="1" s="1"/>
  <c r="X156" i="1" s="1"/>
  <c r="Z156" i="1" s="1"/>
  <c r="R137" i="1"/>
  <c r="S137" i="1" s="1"/>
  <c r="X137" i="1" s="1"/>
  <c r="Z137" i="1" s="1"/>
  <c r="R58" i="1"/>
  <c r="S58" i="1" s="1"/>
  <c r="X58" i="1" s="1"/>
  <c r="Z58" i="1" s="1"/>
  <c r="R114" i="1"/>
  <c r="S114" i="1" s="1"/>
  <c r="X114" i="1" s="1"/>
  <c r="Z114" i="1" s="1"/>
  <c r="R108" i="1"/>
  <c r="S108" i="1" s="1"/>
  <c r="X108" i="1" s="1"/>
  <c r="Z108" i="1" s="1"/>
  <c r="AA108" i="1" s="1"/>
  <c r="R54" i="1"/>
  <c r="S54" i="1" s="1"/>
  <c r="X54" i="1" s="1"/>
  <c r="Z54" i="1" s="1"/>
  <c r="R293" i="1"/>
  <c r="S293" i="1" s="1"/>
  <c r="X293" i="1" s="1"/>
  <c r="Z293" i="1" s="1"/>
  <c r="AA293" i="1" s="1"/>
  <c r="R318" i="1"/>
  <c r="S318" i="1" s="1"/>
  <c r="X318" i="1" s="1"/>
  <c r="Z318" i="1" s="1"/>
  <c r="AA318" i="1" s="1"/>
  <c r="R362" i="1"/>
  <c r="S362" i="1" s="1"/>
  <c r="X362" i="1" s="1"/>
  <c r="Z362" i="1" s="1"/>
  <c r="AA362" i="1" s="1"/>
  <c r="R346" i="1"/>
  <c r="S346" i="1" s="1"/>
  <c r="X346" i="1" s="1"/>
  <c r="X274" i="1"/>
  <c r="R217" i="1"/>
  <c r="S217" i="1" s="1"/>
  <c r="X217" i="1" s="1"/>
  <c r="Z217" i="1" s="1"/>
  <c r="AA217" i="1" s="1"/>
  <c r="X331" i="1"/>
  <c r="Z331" i="1" s="1"/>
  <c r="AA331" i="1" s="1"/>
  <c r="R191" i="1"/>
  <c r="S191" i="1" s="1"/>
  <c r="X191" i="1" s="1"/>
  <c r="Z191" i="1" s="1"/>
  <c r="R152" i="1"/>
  <c r="S152" i="1" s="1"/>
  <c r="X152" i="1" s="1"/>
  <c r="Z152" i="1" s="1"/>
  <c r="R234" i="1"/>
  <c r="S234" i="1" s="1"/>
  <c r="X234" i="1" s="1"/>
  <c r="Z234" i="1" s="1"/>
  <c r="R121" i="1"/>
  <c r="S121" i="1" s="1"/>
  <c r="X121" i="1" s="1"/>
  <c r="Z121" i="1" s="1"/>
  <c r="AA121" i="1" s="1"/>
  <c r="R47" i="1"/>
  <c r="S47" i="1" s="1"/>
  <c r="X47" i="1" s="1"/>
  <c r="Z47" i="1" s="1"/>
  <c r="R51" i="1"/>
  <c r="S51" i="1" s="1"/>
  <c r="X51" i="1" s="1"/>
  <c r="Z51" i="1" s="1"/>
  <c r="R38" i="1"/>
  <c r="S38" i="1" s="1"/>
  <c r="X38" i="1" s="1"/>
  <c r="Z38" i="1" s="1"/>
  <c r="R313" i="1"/>
  <c r="S313" i="1" s="1"/>
  <c r="X313" i="1" s="1"/>
  <c r="Z313" i="1" s="1"/>
  <c r="AA313" i="1" s="1"/>
  <c r="R286" i="1"/>
  <c r="S286" i="1" s="1"/>
  <c r="X286" i="1" s="1"/>
  <c r="X340" i="1"/>
  <c r="Z340" i="1" s="1"/>
  <c r="R270" i="1"/>
  <c r="S270" i="1" s="1"/>
  <c r="X270" i="1" s="1"/>
  <c r="Z270" i="1" s="1"/>
  <c r="R198" i="1"/>
  <c r="S198" i="1" s="1"/>
  <c r="X198" i="1" s="1"/>
  <c r="Z198" i="1" s="1"/>
  <c r="AA198" i="1" s="1"/>
  <c r="R175" i="1"/>
  <c r="S175" i="1" s="1"/>
  <c r="X175" i="1" s="1"/>
  <c r="Z175" i="1" s="1"/>
  <c r="X256" i="1"/>
  <c r="Z256" i="1" s="1"/>
  <c r="R126" i="1"/>
  <c r="S126" i="1" s="1"/>
  <c r="X126" i="1" s="1"/>
  <c r="Z126" i="1" s="1"/>
  <c r="R64" i="1"/>
  <c r="S64" i="1" s="1"/>
  <c r="X64" i="1" s="1"/>
  <c r="Z64" i="1" s="1"/>
  <c r="R113" i="1"/>
  <c r="S113" i="1" s="1"/>
  <c r="X113" i="1" s="1"/>
  <c r="Z113" i="1" s="1"/>
  <c r="Z88" i="1"/>
  <c r="AA88" i="1" s="1"/>
  <c r="Z111" i="1"/>
  <c r="Z91" i="1"/>
  <c r="AB91" i="1" s="1"/>
  <c r="Z65" i="1"/>
  <c r="Z74" i="1"/>
  <c r="AA74" i="1" s="1"/>
  <c r="Z102" i="1"/>
  <c r="AA102" i="1" s="1"/>
  <c r="Z61" i="1"/>
  <c r="AB61" i="1" s="1"/>
  <c r="Z140" i="1"/>
  <c r="Z179" i="1"/>
  <c r="AA179" i="1" s="1"/>
  <c r="Z166" i="1"/>
  <c r="AA166" i="1" s="1"/>
  <c r="Z142" i="1"/>
  <c r="AA142" i="1" s="1"/>
  <c r="Z151" i="1"/>
  <c r="Z132" i="1"/>
  <c r="AA132" i="1" s="1"/>
  <c r="Z135" i="1"/>
  <c r="AB136" i="1" s="1"/>
  <c r="Z181" i="1"/>
  <c r="Z192" i="1"/>
  <c r="Z164" i="1"/>
  <c r="Z176" i="1"/>
  <c r="AA176" i="1" s="1"/>
  <c r="Z174" i="1"/>
  <c r="AA174" i="1" s="1"/>
  <c r="Z187" i="1"/>
  <c r="AA187" i="1" s="1"/>
  <c r="Z206" i="1"/>
  <c r="AA206" i="1" s="1"/>
  <c r="Z202" i="1"/>
  <c r="Z254" i="1"/>
  <c r="AA254" i="1" s="1"/>
  <c r="Z180" i="1"/>
  <c r="AA180" i="1" s="1"/>
  <c r="Z190" i="1"/>
  <c r="Z222" i="1"/>
  <c r="Z201" i="1"/>
  <c r="AA201" i="1" s="1"/>
  <c r="Z227" i="1"/>
  <c r="AA227" i="1" s="1"/>
  <c r="Z284" i="1"/>
  <c r="AA284" i="1" s="1"/>
  <c r="Z282" i="1"/>
  <c r="Z196" i="1"/>
  <c r="AA196" i="1" s="1"/>
  <c r="Z209" i="1"/>
  <c r="AA209" i="1" s="1"/>
  <c r="Z236" i="1"/>
  <c r="AA236" i="1" s="1"/>
  <c r="Z277" i="1"/>
  <c r="AA277" i="1" s="1"/>
  <c r="Z257" i="1"/>
  <c r="Z228" i="1"/>
  <c r="AA228" i="1" s="1"/>
  <c r="Z158" i="1"/>
  <c r="AA158" i="1" s="1"/>
  <c r="Z218" i="1"/>
  <c r="Z221" i="1"/>
  <c r="Z219" i="1"/>
  <c r="AA219" i="1" s="1"/>
  <c r="Z258" i="1"/>
  <c r="Z351" i="1"/>
  <c r="Z261" i="1"/>
  <c r="AA261" i="1" s="1"/>
  <c r="Z249" i="1"/>
  <c r="Z363" i="1"/>
  <c r="Z273" i="1"/>
  <c r="AA273" i="1" s="1"/>
  <c r="Z360" i="1"/>
  <c r="AA360" i="1" s="1"/>
  <c r="Z369" i="1"/>
  <c r="AA369" i="1" s="1"/>
  <c r="Z341" i="1"/>
  <c r="AA341" i="1" s="1"/>
  <c r="Z286" i="1"/>
  <c r="AA286" i="1" s="1"/>
  <c r="Z361" i="1"/>
  <c r="Z353" i="1"/>
  <c r="AA353" i="1" s="1"/>
  <c r="Z372" i="1"/>
  <c r="AA372" i="1" s="1"/>
  <c r="Z243" i="1"/>
  <c r="AA243" i="1" s="1"/>
  <c r="Z253" i="1"/>
  <c r="AA253" i="1" s="1"/>
  <c r="Z274" i="1"/>
  <c r="Z346" i="1"/>
  <c r="AB346" i="1" s="1"/>
  <c r="Z326" i="1"/>
  <c r="AA326" i="1" s="1"/>
  <c r="Z356" i="1"/>
  <c r="AA356" i="1" s="1"/>
  <c r="Z337" i="1"/>
  <c r="AA337" i="1" s="1"/>
  <c r="Z325" i="1"/>
  <c r="AA325" i="1" s="1"/>
  <c r="Z322" i="1"/>
  <c r="Z348" i="1"/>
  <c r="AA348" i="1" s="1"/>
  <c r="Z285" i="1"/>
  <c r="AA285" i="1" s="1"/>
  <c r="Z294" i="1"/>
  <c r="AA294" i="1" s="1"/>
  <c r="Z296" i="1"/>
  <c r="AA296" i="1" s="1"/>
  <c r="Z312" i="1"/>
  <c r="AA312" i="1" s="1"/>
  <c r="Z288" i="1"/>
  <c r="AA45" i="1"/>
  <c r="Z276" i="1"/>
  <c r="AA351" i="1"/>
  <c r="AA257" i="1"/>
  <c r="AA221" i="1"/>
  <c r="AA190" i="1"/>
  <c r="AA164" i="1"/>
  <c r="AA151" i="1"/>
  <c r="AA111" i="1"/>
  <c r="AA105" i="1"/>
  <c r="AA98" i="1"/>
  <c r="AA95" i="1"/>
  <c r="AB94" i="1"/>
  <c r="AA81" i="1"/>
  <c r="AA76" i="1"/>
  <c r="AB69" i="1"/>
  <c r="AA69" i="1"/>
  <c r="AA68" i="1"/>
  <c r="AB67" i="1"/>
  <c r="AB66" i="1"/>
  <c r="AA66" i="1"/>
  <c r="AA65" i="1"/>
  <c r="AB60" i="1"/>
  <c r="AA60" i="1"/>
  <c r="AA57" i="1"/>
  <c r="AA54" i="1"/>
  <c r="AA61" i="1" l="1"/>
  <c r="AA90" i="1"/>
  <c r="AB218" i="1"/>
  <c r="AB109" i="1"/>
  <c r="AB277" i="1"/>
  <c r="AB121" i="1"/>
  <c r="AB207" i="1"/>
  <c r="AB284" i="1"/>
  <c r="AB82" i="1"/>
  <c r="AB111" i="1"/>
  <c r="AA92" i="1"/>
  <c r="AB92" i="1"/>
  <c r="AA242" i="1"/>
  <c r="AB243" i="1"/>
  <c r="AB53" i="1"/>
  <c r="AB54" i="1"/>
  <c r="AB168" i="1"/>
  <c r="AA167" i="1"/>
  <c r="AB186" i="1"/>
  <c r="AB187" i="1"/>
  <c r="AA110" i="1"/>
  <c r="AB179" i="1"/>
  <c r="AB140" i="1"/>
  <c r="AB181" i="1"/>
  <c r="AB240" i="1"/>
  <c r="AA240" i="1"/>
  <c r="AA173" i="1"/>
  <c r="AB174" i="1"/>
  <c r="AA53" i="1"/>
  <c r="AA106" i="1"/>
  <c r="AA181" i="1"/>
  <c r="AB185" i="1"/>
  <c r="AA140" i="1"/>
  <c r="AA186" i="1"/>
  <c r="AA207" i="1"/>
  <c r="AB258" i="1"/>
  <c r="AB261" i="1"/>
  <c r="AB139" i="1"/>
  <c r="AB249" i="1"/>
  <c r="AB191" i="1"/>
  <c r="AA191" i="1"/>
  <c r="AB361" i="1"/>
  <c r="AB192" i="1"/>
  <c r="AB77" i="1"/>
  <c r="AB202" i="1"/>
  <c r="AB93" i="1"/>
  <c r="AB75" i="1"/>
  <c r="AB89" i="1"/>
  <c r="AB222" i="1"/>
  <c r="AB341" i="1"/>
  <c r="AB190" i="1"/>
  <c r="AA189" i="1"/>
  <c r="AA259" i="1"/>
  <c r="AB260" i="1"/>
  <c r="AB259" i="1"/>
  <c r="AB162" i="1"/>
  <c r="AA162" i="1"/>
  <c r="AA101" i="1"/>
  <c r="AB101" i="1"/>
  <c r="AB102" i="1"/>
  <c r="AB182" i="1"/>
  <c r="AA182" i="1"/>
  <c r="AB43" i="1"/>
  <c r="AA43" i="1"/>
  <c r="AB169" i="1"/>
  <c r="AA169" i="1"/>
  <c r="AB143" i="1"/>
  <c r="AA143" i="1"/>
  <c r="AA365" i="1"/>
  <c r="AB365" i="1"/>
  <c r="AB214" i="1"/>
  <c r="AA214" i="1"/>
  <c r="AB84" i="1"/>
  <c r="AA84" i="1"/>
  <c r="AA262" i="1"/>
  <c r="AB262" i="1"/>
  <c r="AA183" i="1"/>
  <c r="AB184" i="1"/>
  <c r="AB183" i="1"/>
  <c r="AA241" i="1"/>
  <c r="AB242" i="1"/>
  <c r="AB241" i="1"/>
  <c r="AA272" i="1"/>
  <c r="AB272" i="1"/>
  <c r="AA247" i="1"/>
  <c r="AB248" i="1"/>
  <c r="AA83" i="1"/>
  <c r="AB83" i="1"/>
  <c r="AB210" i="1"/>
  <c r="AA210" i="1"/>
  <c r="AB211" i="1"/>
  <c r="AA225" i="1"/>
  <c r="AB226" i="1"/>
  <c r="AA280" i="1"/>
  <c r="AB280" i="1"/>
  <c r="AB235" i="1"/>
  <c r="AA234" i="1"/>
  <c r="AB76" i="1"/>
  <c r="AA89" i="1"/>
  <c r="AA93" i="1"/>
  <c r="AB133" i="1"/>
  <c r="AB167" i="1"/>
  <c r="AA218" i="1"/>
  <c r="AA222" i="1"/>
  <c r="AA249" i="1"/>
  <c r="AA91" i="1"/>
  <c r="AB98" i="1"/>
  <c r="AB68" i="1"/>
  <c r="AA75" i="1"/>
  <c r="AB95" i="1"/>
  <c r="AB110" i="1"/>
  <c r="AA135" i="1"/>
  <c r="AB180" i="1"/>
  <c r="AA192" i="1"/>
  <c r="AA202" i="1"/>
  <c r="AA258" i="1"/>
  <c r="AA276" i="1"/>
  <c r="AB286" i="1"/>
  <c r="AB236" i="1"/>
  <c r="AB289" i="1"/>
  <c r="AA283" i="1"/>
  <c r="AB354" i="1"/>
  <c r="AB285" i="1"/>
  <c r="AB297" i="1"/>
  <c r="AB330" i="1"/>
  <c r="AB364" i="1"/>
  <c r="AB274" i="1"/>
  <c r="AB244" i="1"/>
  <c r="AB219" i="1"/>
  <c r="AB329" i="1"/>
  <c r="AA346" i="1"/>
  <c r="AB57" i="1"/>
  <c r="AA56" i="1"/>
  <c r="AA305" i="1"/>
  <c r="AB331" i="1"/>
  <c r="AB320" i="1"/>
  <c r="AA274" i="1"/>
  <c r="AB372" i="1"/>
  <c r="AB283" i="1"/>
  <c r="AB227" i="1"/>
  <c r="AB254" i="1"/>
  <c r="AB344" i="1"/>
  <c r="AA343" i="1"/>
  <c r="AB132" i="1"/>
  <c r="AB131" i="1"/>
  <c r="AA131" i="1"/>
  <c r="AA270" i="1"/>
  <c r="AB271" i="1"/>
  <c r="AA307" i="1"/>
  <c r="AB307" i="1"/>
  <c r="AA370" i="1"/>
  <c r="AB371" i="1"/>
  <c r="AB145" i="1"/>
  <c r="AB144" i="1"/>
  <c r="AA144" i="1"/>
  <c r="AB228" i="1"/>
  <c r="AB239" i="1"/>
  <c r="AA282" i="1"/>
  <c r="AB323" i="1"/>
  <c r="AB337" i="1"/>
  <c r="AA363" i="1"/>
  <c r="AA361" i="1"/>
  <c r="AB363" i="1"/>
  <c r="AB327" i="1"/>
  <c r="AB328" i="1"/>
  <c r="AB370" i="1"/>
  <c r="AA85" i="1"/>
  <c r="AB86" i="1"/>
  <c r="AB85" i="1"/>
  <c r="AB103" i="1"/>
  <c r="AA103" i="1"/>
  <c r="AB282" i="1"/>
  <c r="AB281" i="1"/>
  <c r="AA281" i="1"/>
  <c r="AA288" i="1"/>
  <c r="AB362" i="1"/>
  <c r="AB290" i="1"/>
  <c r="AB311" i="1"/>
  <c r="AB312" i="1"/>
  <c r="AB340" i="1"/>
  <c r="AB321" i="1"/>
  <c r="AA233" i="1"/>
  <c r="AB234" i="1"/>
  <c r="AA250" i="1"/>
  <c r="AB250" i="1"/>
  <c r="AB301" i="1"/>
  <c r="AA301" i="1"/>
  <c r="AB116" i="1"/>
  <c r="AA116" i="1"/>
  <c r="AB196" i="1"/>
  <c r="AA195" i="1"/>
  <c r="AB303" i="1"/>
  <c r="AA303" i="1"/>
  <c r="AB355" i="1"/>
  <c r="AA355" i="1"/>
  <c r="AB356" i="1"/>
  <c r="AB302" i="1"/>
  <c r="AB322" i="1"/>
  <c r="AB339" i="1"/>
  <c r="AA58" i="1"/>
  <c r="AB58" i="1"/>
  <c r="AB59" i="1"/>
  <c r="AA256" i="1"/>
  <c r="AB257" i="1"/>
  <c r="AA177" i="1"/>
  <c r="AB178" i="1"/>
  <c r="AB177" i="1"/>
  <c r="AA199" i="1"/>
  <c r="AB199" i="1"/>
  <c r="AB253" i="1"/>
  <c r="AA252" i="1"/>
  <c r="AB112" i="1"/>
  <c r="AA112" i="1"/>
  <c r="AB237" i="1"/>
  <c r="AA237" i="1"/>
  <c r="AB238" i="1"/>
  <c r="AB146" i="1"/>
  <c r="AA146" i="1"/>
  <c r="AA38" i="1"/>
  <c r="AB39" i="1"/>
  <c r="AB163" i="1"/>
  <c r="AA163" i="1"/>
  <c r="AB164" i="1"/>
  <c r="AB56" i="1"/>
  <c r="AA55" i="1"/>
  <c r="AB55" i="1"/>
  <c r="AB158" i="1"/>
  <c r="AA157" i="1"/>
  <c r="AB173" i="1"/>
  <c r="AA172" i="1"/>
  <c r="AB155" i="1"/>
  <c r="AA155" i="1"/>
  <c r="AB188" i="1"/>
  <c r="AA188" i="1"/>
  <c r="AB189" i="1"/>
  <c r="AB352" i="1"/>
  <c r="AA352" i="1"/>
  <c r="AA317" i="1"/>
  <c r="AB318" i="1"/>
  <c r="AB300" i="1"/>
  <c r="AA299" i="1"/>
  <c r="AB366" i="1"/>
  <c r="AA366" i="1"/>
  <c r="AA278" i="1"/>
  <c r="AB278" i="1"/>
  <c r="AA87" i="1"/>
  <c r="AB87" i="1"/>
  <c r="AB88" i="1"/>
  <c r="AA322" i="1"/>
  <c r="AA330" i="1"/>
  <c r="AB273" i="1"/>
  <c r="AB294" i="1"/>
  <c r="AB313" i="1"/>
  <c r="AB319" i="1"/>
  <c r="AA328" i="1"/>
  <c r="AB353" i="1"/>
  <c r="AB334" i="1"/>
  <c r="AB367" i="1"/>
  <c r="AB125" i="1"/>
  <c r="AA125" i="1"/>
  <c r="AB347" i="1"/>
  <c r="AB348" i="1"/>
  <c r="AA347" i="1"/>
  <c r="AA298" i="1"/>
  <c r="AB298" i="1"/>
  <c r="AB233" i="1"/>
  <c r="AB232" i="1"/>
  <c r="AA232" i="1"/>
  <c r="AB80" i="1"/>
  <c r="AA80" i="1"/>
  <c r="AB81" i="1"/>
  <c r="AA292" i="1"/>
  <c r="AB292" i="1"/>
  <c r="AB304" i="1"/>
  <c r="AA304" i="1"/>
  <c r="AB305" i="1"/>
  <c r="AB316" i="1"/>
  <c r="AA316" i="1"/>
  <c r="AB317" i="1"/>
  <c r="AB72" i="1"/>
  <c r="AA72" i="1"/>
  <c r="AB148" i="1"/>
  <c r="AA148" i="1"/>
  <c r="AB149" i="1"/>
  <c r="AB342" i="1"/>
  <c r="AB343" i="1"/>
  <c r="AB64" i="1"/>
  <c r="AB65" i="1"/>
  <c r="AA64" i="1"/>
  <c r="AB266" i="1"/>
  <c r="AA266" i="1"/>
  <c r="AB62" i="1"/>
  <c r="AA62" i="1"/>
  <c r="AB63" i="1"/>
  <c r="AA194" i="1"/>
  <c r="AB195" i="1"/>
  <c r="AB171" i="1"/>
  <c r="AA171" i="1"/>
  <c r="AB172" i="1"/>
  <c r="AA41" i="1"/>
  <c r="AB42" i="1"/>
  <c r="AB275" i="1"/>
  <c r="AA275" i="1"/>
  <c r="AB276" i="1"/>
  <c r="AB124" i="1"/>
  <c r="AA123" i="1"/>
  <c r="AB70" i="1"/>
  <c r="AA70" i="1"/>
  <c r="AB71" i="1"/>
  <c r="AB147" i="1"/>
  <c r="AA147" i="1"/>
  <c r="AB200" i="1"/>
  <c r="AA200" i="1"/>
  <c r="AB201" i="1"/>
  <c r="AB96" i="1"/>
  <c r="AA96" i="1"/>
  <c r="AB97" i="1"/>
  <c r="AB134" i="1"/>
  <c r="AA134" i="1"/>
  <c r="AB135" i="1"/>
  <c r="AA170" i="1"/>
  <c r="AB170" i="1"/>
  <c r="AB314" i="1"/>
  <c r="AB315" i="1"/>
  <c r="AA314" i="1"/>
  <c r="AA215" i="1"/>
  <c r="AB215" i="1"/>
  <c r="AB212" i="1"/>
  <c r="AA212" i="1"/>
  <c r="AB213" i="1"/>
  <c r="AB150" i="1"/>
  <c r="AA150" i="1"/>
  <c r="AB151" i="1"/>
  <c r="AB100" i="1"/>
  <c r="AB99" i="1"/>
  <c r="AA99" i="1"/>
  <c r="AB78" i="1"/>
  <c r="AA78" i="1"/>
  <c r="AB79" i="1"/>
  <c r="AB165" i="1"/>
  <c r="AA165" i="1"/>
  <c r="AB166" i="1"/>
  <c r="AB52" i="1"/>
  <c r="AA51" i="1"/>
  <c r="AB51" i="1"/>
  <c r="AA251" i="1"/>
  <c r="AB252" i="1"/>
  <c r="AB251" i="1"/>
  <c r="AA153" i="1"/>
  <c r="AB154" i="1"/>
  <c r="AB245" i="1"/>
  <c r="AA245" i="1"/>
  <c r="AB287" i="1"/>
  <c r="AB288" i="1"/>
  <c r="AA287" i="1"/>
  <c r="AA368" i="1"/>
  <c r="AB368" i="1"/>
  <c r="AB269" i="1"/>
  <c r="AB270" i="1"/>
  <c r="AA269" i="1"/>
  <c r="AA295" i="1"/>
  <c r="AB296" i="1"/>
  <c r="AB359" i="1"/>
  <c r="AB360" i="1"/>
  <c r="AA359" i="1"/>
  <c r="AA320" i="1"/>
  <c r="AB291" i="1"/>
  <c r="AB310" i="1"/>
  <c r="AB279" i="1"/>
  <c r="AB338" i="1"/>
  <c r="AB351" i="1"/>
  <c r="AB175" i="1"/>
  <c r="AA175" i="1"/>
  <c r="AB176" i="1"/>
  <c r="AB48" i="1"/>
  <c r="AA47" i="1"/>
  <c r="AB128" i="1"/>
  <c r="AA128" i="1"/>
  <c r="AB129" i="1"/>
  <c r="AB256" i="1"/>
  <c r="AB255" i="1"/>
  <c r="AA255" i="1"/>
  <c r="AB263" i="1"/>
  <c r="AA263" i="1"/>
  <c r="AB357" i="1"/>
  <c r="AA357" i="1"/>
  <c r="AB309" i="1"/>
  <c r="AB308" i="1"/>
  <c r="AA308" i="1"/>
  <c r="AB229" i="1"/>
  <c r="AA229" i="1"/>
  <c r="AB268" i="1"/>
  <c r="AB267" i="1"/>
  <c r="AA267" i="1"/>
  <c r="AB223" i="1"/>
  <c r="AA223" i="1"/>
  <c r="AB105" i="1"/>
  <c r="AB104" i="1"/>
  <c r="AA104" i="1"/>
  <c r="AB358" i="1"/>
  <c r="AA358" i="1"/>
  <c r="AB126" i="1"/>
  <c r="AA126" i="1"/>
  <c r="AB127" i="1"/>
  <c r="AB138" i="1"/>
  <c r="AB137" i="1"/>
  <c r="AA137" i="1"/>
  <c r="AB203" i="1"/>
  <c r="AA203" i="1"/>
  <c r="AB204" i="1"/>
  <c r="AB50" i="1"/>
  <c r="AB49" i="1"/>
  <c r="AA49" i="1"/>
  <c r="AA73" i="1"/>
  <c r="AB74" i="1"/>
  <c r="AB73" i="1"/>
  <c r="AA230" i="1"/>
  <c r="AB231" i="1"/>
  <c r="AB230" i="1"/>
  <c r="AA224" i="1"/>
  <c r="AB225" i="1"/>
  <c r="AB224" i="1"/>
  <c r="AA208" i="1"/>
  <c r="AB209" i="1"/>
  <c r="AB208" i="1"/>
  <c r="AB113" i="1"/>
  <c r="AA113" i="1"/>
  <c r="AB197" i="1"/>
  <c r="AA197" i="1"/>
  <c r="AB198" i="1"/>
  <c r="AB193" i="1"/>
  <c r="AA193" i="1"/>
  <c r="AB194" i="1"/>
  <c r="AB107" i="1"/>
  <c r="AA107" i="1"/>
  <c r="AB108" i="1"/>
  <c r="AB325" i="1"/>
  <c r="AB324" i="1"/>
  <c r="AA324" i="1"/>
  <c r="AB350" i="1"/>
  <c r="AB349" i="1"/>
  <c r="AA349" i="1"/>
  <c r="AB246" i="1"/>
  <c r="AA246" i="1"/>
  <c r="AB247" i="1"/>
  <c r="AA216" i="1"/>
  <c r="AB217" i="1"/>
  <c r="AB216" i="1"/>
  <c r="AB41" i="1"/>
  <c r="AB40" i="1"/>
  <c r="AA40" i="1"/>
  <c r="AB115" i="1"/>
  <c r="AB114" i="1"/>
  <c r="AA114" i="1"/>
  <c r="AA156" i="1"/>
  <c r="AB157" i="1"/>
  <c r="AB156" i="1"/>
  <c r="AB120" i="1"/>
  <c r="AA119" i="1"/>
  <c r="AB119" i="1"/>
  <c r="AA335" i="1"/>
  <c r="AB336" i="1"/>
  <c r="AB335" i="1"/>
  <c r="AB45" i="1"/>
  <c r="AB44" i="1"/>
  <c r="AA44" i="1"/>
  <c r="AB205" i="1"/>
  <c r="AA205" i="1"/>
  <c r="AB206" i="1"/>
  <c r="AA160" i="1"/>
  <c r="AB161" i="1"/>
  <c r="AB160" i="1"/>
  <c r="AA220" i="1"/>
  <c r="AB221" i="1"/>
  <c r="AB220" i="1"/>
  <c r="AB264" i="1"/>
  <c r="AA264" i="1"/>
  <c r="AB265" i="1"/>
  <c r="AB159" i="1"/>
  <c r="AA159" i="1"/>
  <c r="AB122" i="1"/>
  <c r="AA122" i="1"/>
  <c r="AB123" i="1"/>
  <c r="AB118" i="1"/>
  <c r="AB117" i="1"/>
  <c r="AA117" i="1"/>
  <c r="AA373" i="1"/>
  <c r="AB374" i="1"/>
  <c r="AB373" i="1"/>
  <c r="AB142" i="1"/>
  <c r="AA141" i="1"/>
  <c r="AB141" i="1"/>
  <c r="AB293" i="1"/>
  <c r="AB295" i="1"/>
  <c r="AB299" i="1"/>
  <c r="AA302" i="1"/>
  <c r="AB326" i="1"/>
  <c r="AA334" i="1"/>
  <c r="AA338" i="1"/>
  <c r="AA340" i="1"/>
  <c r="AA342" i="1"/>
  <c r="AB369" i="1"/>
  <c r="AB46" i="1"/>
  <c r="AB47" i="1"/>
  <c r="AA46" i="1"/>
  <c r="AB152" i="1"/>
  <c r="AA152" i="1"/>
  <c r="AB153" i="1"/>
  <c r="AA332" i="1"/>
  <c r="AB333" i="1"/>
  <c r="AB332" i="1"/>
</calcChain>
</file>

<file path=xl/sharedStrings.xml><?xml version="1.0" encoding="utf-8"?>
<sst xmlns="http://schemas.openxmlformats.org/spreadsheetml/2006/main" count="155" uniqueCount="124">
  <si>
    <t>child tax credit</t>
  </si>
  <si>
    <t>child tax credit phase out</t>
  </si>
  <si>
    <t># kids at home</t>
  </si>
  <si>
    <t># people in family</t>
  </si>
  <si>
    <t>http://www.taxpolicycenter.org/taxfacts/displayafact.cfm?Docid=36</t>
  </si>
  <si>
    <t xml:space="preserve">http://taxes.about.com/od/deductionscredits/qt/earnedincome.htm </t>
  </si>
  <si>
    <t>http://www.bankrate.com/finance/taxes/tax-brackets.aspx</t>
  </si>
  <si>
    <t>student loan interest cap</t>
  </si>
  <si>
    <t>min income for max credit</t>
  </si>
  <si>
    <t>max credit</t>
  </si>
  <si>
    <t>Legend</t>
  </si>
  <si>
    <t>you fill these yellow numbers in</t>
  </si>
  <si>
    <t>ETIC dies w/ investment income</t>
  </si>
  <si>
    <t>Investment income must be XXXX or less. Investment income includes interest, dividends, capital gains, and royalties.</t>
  </si>
  <si>
    <t>personal expemption</t>
  </si>
  <si>
    <t>charitable donations ($)</t>
  </si>
  <si>
    <t>student loan interest ($)</t>
  </si>
  <si>
    <t>grey cells contain intermediate calcs - do not touch</t>
  </si>
  <si>
    <t>Table for EITC Calcs</t>
  </si>
  <si>
    <t>Tax Table</t>
  </si>
  <si>
    <t>Agi For Eitc Calc</t>
  </si>
  <si>
    <t>Agi</t>
  </si>
  <si>
    <t>Effective Deductions</t>
  </si>
  <si>
    <t>Exemptions</t>
  </si>
  <si>
    <t>Taxable Income</t>
  </si>
  <si>
    <t>Regular Taxes Owed</t>
  </si>
  <si>
    <t>Child Tax Credit</t>
  </si>
  <si>
    <t>Child Tax Credit Phase Out</t>
  </si>
  <si>
    <t>Effective Child Tax Credit</t>
  </si>
  <si>
    <t>Eitc</t>
  </si>
  <si>
    <t>Total Credits</t>
  </si>
  <si>
    <t>Extra Taxes From Amt</t>
  </si>
  <si>
    <t>Effective Marginal Tax Rate [Federal Only]</t>
  </si>
  <si>
    <t>AMT Stuff</t>
  </si>
  <si>
    <t>Effective AMT Exemption</t>
  </si>
  <si>
    <t>AMT Taxes</t>
  </si>
  <si>
    <t>Obamacare surcharge premium</t>
  </si>
  <si>
    <t>Non-Labor Income</t>
  </si>
  <si>
    <t>Deductions</t>
  </si>
  <si>
    <t>mortgate interest ($)</t>
  </si>
  <si>
    <t>Retirement Savings</t>
  </si>
  <si>
    <t>real estate property taxes ($)</t>
  </si>
  <si>
    <t>state income tax paid ($)</t>
  </si>
  <si>
    <t>Important Tax Parameters</t>
  </si>
  <si>
    <t>start</t>
  </si>
  <si>
    <t>end</t>
  </si>
  <si>
    <t>rate</t>
  </si>
  <si>
    <t>width</t>
  </si>
  <si>
    <t>taxes if maxed out</t>
  </si>
  <si>
    <t>cumulative taxes</t>
  </si>
  <si>
    <t>Family Size</t>
  </si>
  <si>
    <t># kids 16 or younger</t>
  </si>
  <si>
    <t>EITC calcs</t>
  </si>
  <si>
    <t>Child Tax Credit Calcs</t>
  </si>
  <si>
    <t>Federal Taxes Owed (No AMT)</t>
  </si>
  <si>
    <t>AMT Calcs</t>
  </si>
  <si>
    <t>Federal Taxes Owed (Includes AMT)</t>
  </si>
  <si>
    <t>Federal Taxes Owed2</t>
  </si>
  <si>
    <t>child tax credit phase out rate</t>
  </si>
  <si>
    <t>orange cells are tax parameters (you shouldn't need to touch)</t>
  </si>
  <si>
    <t>short-term capital gains</t>
  </si>
  <si>
    <t>long-term capital gains</t>
  </si>
  <si>
    <t>interest</t>
  </si>
  <si>
    <t>dividends</t>
  </si>
  <si>
    <t>trad IRA contributions ($)</t>
  </si>
  <si>
    <t>Main Tax Calcs</t>
  </si>
  <si>
    <t>Regular Taxes Owed - Effective Child Tax Credit</t>
  </si>
  <si>
    <t>ETIC</t>
  </si>
  <si>
    <t>earned income for EITC</t>
  </si>
  <si>
    <t>effective income for Etic</t>
  </si>
  <si>
    <t>Obamacare surcharge percent</t>
  </si>
  <si>
    <t>net income</t>
  </si>
  <si>
    <t xml:space="preserve">Additional Child Tax Credit </t>
  </si>
  <si>
    <t>ETIC correction (Footnote 1)</t>
  </si>
  <si>
    <t># children</t>
  </si>
  <si>
    <t>credit rate</t>
  </si>
  <si>
    <t>phase out rate</t>
  </si>
  <si>
    <t>beginning income</t>
  </si>
  <si>
    <t>ending income</t>
  </si>
  <si>
    <t>corrected beginning income</t>
  </si>
  <si>
    <t>AGI for AMT</t>
  </si>
  <si>
    <t>Effective Additional Child Tax Credit</t>
  </si>
  <si>
    <t>M</t>
  </si>
  <si>
    <t>single</t>
  </si>
  <si>
    <t>married</t>
  </si>
  <si>
    <t>calculated below</t>
  </si>
  <si>
    <t>Married? (Enter "M" if Married and "S" if Single)</t>
  </si>
  <si>
    <t>child tax credit phase out (married)</t>
  </si>
  <si>
    <t>child tax credit phase out (single)</t>
  </si>
  <si>
    <t>standard deduction (single)</t>
  </si>
  <si>
    <t>standard deduction (married)</t>
  </si>
  <si>
    <t>standard deduction (effective)</t>
  </si>
  <si>
    <t>child tax credit phase out (effective)</t>
  </si>
  <si>
    <t>Obamacare surcharge starts (single)</t>
  </si>
  <si>
    <t>Obamacare surcharge starts (married)</t>
  </si>
  <si>
    <t>Obamacare surcharge starts (effective)</t>
  </si>
  <si>
    <t>AMT exemption phaseout thresholds (single)</t>
  </si>
  <si>
    <t>AMT exemption phaseout thresholds (married)</t>
  </si>
  <si>
    <t>AMT exemption phaseout thresholds (effective)</t>
  </si>
  <si>
    <t>Point at which 28% tax rate begins (same for single &amp; married)</t>
  </si>
  <si>
    <t>AMT exemption amount (single)</t>
  </si>
  <si>
    <t>AMT exemption amount (married)</t>
  </si>
  <si>
    <t>AMT exemption amount (effective)</t>
  </si>
  <si>
    <t>taxable wages</t>
  </si>
  <si>
    <t>taxable wages = gross wages - (401k/403b/457 contributions + healthcare premiums + HSA/FSA + etc)</t>
  </si>
  <si>
    <t>AMT exemption phase-out rate</t>
  </si>
  <si>
    <t>AMT tax rate #1</t>
  </si>
  <si>
    <t>AMT tax rate #2</t>
  </si>
  <si>
    <t>http://www.savingtoinvest.com/alternative-minimum-tax-amt-and-exemption-amounts/</t>
  </si>
  <si>
    <t>Taxcaster</t>
  </si>
  <si>
    <t>Diff</t>
  </si>
  <si>
    <t xml:space="preserve"> </t>
  </si>
  <si>
    <t>medical expenses ($)</t>
  </si>
  <si>
    <t>Kids</t>
  </si>
  <si>
    <t>Spreadsheet</t>
  </si>
  <si>
    <t>Taxable Wages = $25,000</t>
  </si>
  <si>
    <t>Taxable Wages = $75,000</t>
  </si>
  <si>
    <t>Taxable Wages = $125,000</t>
  </si>
  <si>
    <t>Taxable Wages = $175,000</t>
  </si>
  <si>
    <t>Taxable Wages = $225,000</t>
  </si>
  <si>
    <t>corrected ending income (be sure to include footnote 1 here)</t>
  </si>
  <si>
    <t>this is an input which you look up in the table. As a result, I don't care what your 401 contributions are.</t>
  </si>
  <si>
    <t xml:space="preserve">My spreadsheet (like Taxcaster) will not calculate taxable wages; </t>
  </si>
  <si>
    <r>
      <t xml:space="preserve">Optional: </t>
    </r>
    <r>
      <rPr>
        <sz val="22"/>
        <color theme="1"/>
        <rFont val="Calibri"/>
        <family val="2"/>
        <scheme val="minor"/>
      </rPr>
      <t>If you care to see the guts of the spreadsheet, you'll need to expland columns to the right of Column B by clicking the plus sign above Column 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</si>
</sst>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&quot;$&quot;#,##0.0_);[Red]\(&quot;$&quot;#,##0.0\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8">
    <xf numFmtId="0" fontId="0" fillId="0" borderId="0" xfId="0"/>
    <xf numFmtId="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horizontal="left"/>
    </xf>
    <xf numFmtId="6" fontId="0" fillId="0" borderId="0" xfId="0" applyNumberFormat="1" applyFont="1" applyFill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6" fontId="0" fillId="0" borderId="0" xfId="2" applyNumberFormat="1" applyFont="1" applyFill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6" fontId="0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2" applyNumberFormat="1" applyFont="1" applyFill="1" applyAlignment="1">
      <alignment horizontal="left"/>
    </xf>
    <xf numFmtId="0" fontId="0" fillId="3" borderId="2" xfId="0" applyFont="1" applyFill="1" applyBorder="1" applyAlignment="1">
      <alignment horizontal="left"/>
    </xf>
    <xf numFmtId="6" fontId="0" fillId="3" borderId="2" xfId="0" applyNumberFormat="1" applyFont="1" applyFill="1" applyBorder="1" applyAlignment="1">
      <alignment horizontal="left"/>
    </xf>
    <xf numFmtId="6" fontId="0" fillId="3" borderId="3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 horizontal="left"/>
    </xf>
    <xf numFmtId="6" fontId="0" fillId="2" borderId="8" xfId="0" applyNumberFormat="1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6" fontId="0" fillId="5" borderId="5" xfId="0" applyNumberFormat="1" applyFont="1" applyFill="1" applyBorder="1" applyAlignment="1">
      <alignment horizontal="left"/>
    </xf>
    <xf numFmtId="6" fontId="0" fillId="5" borderId="6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horizontal="left"/>
    </xf>
    <xf numFmtId="6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0" fillId="0" borderId="0" xfId="0" quotePrefix="1" applyFont="1" applyFill="1" applyAlignment="1">
      <alignment horizontal="left"/>
    </xf>
    <xf numFmtId="0" fontId="0" fillId="4" borderId="0" xfId="0" applyFont="1" applyFill="1" applyAlignment="1">
      <alignment horizontal="right"/>
    </xf>
    <xf numFmtId="1" fontId="0" fillId="4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9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6" fontId="2" fillId="0" borderId="0" xfId="0" applyNumberFormat="1" applyFont="1" applyFill="1" applyAlignment="1">
      <alignment horizontal="left"/>
    </xf>
    <xf numFmtId="164" fontId="2" fillId="0" borderId="0" xfId="2" applyNumberFormat="1" applyFont="1" applyFill="1" applyAlignment="1">
      <alignment horizontal="left"/>
    </xf>
    <xf numFmtId="6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2" applyNumberFormat="1" applyFont="1" applyFill="1" applyAlignment="1">
      <alignment horizontal="center"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2" applyNumberFormat="1" applyFont="1" applyFill="1" applyAlignment="1">
      <alignment horizontal="right"/>
    </xf>
    <xf numFmtId="6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6" fontId="0" fillId="0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Alignment="1">
      <alignment horizontal="left"/>
    </xf>
    <xf numFmtId="6" fontId="2" fillId="0" borderId="9" xfId="0" applyNumberFormat="1" applyFont="1" applyFill="1" applyBorder="1" applyAlignment="1">
      <alignment horizontal="center" vertical="center"/>
    </xf>
    <xf numFmtId="9" fontId="0" fillId="0" borderId="0" xfId="2" applyNumberFormat="1" applyFont="1" applyFill="1" applyAlignment="1">
      <alignment horizontal="right"/>
    </xf>
    <xf numFmtId="6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6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right"/>
    </xf>
    <xf numFmtId="0" fontId="1" fillId="0" borderId="0" xfId="1" applyAlignment="1">
      <alignment horizontal="left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/>
    </xf>
    <xf numFmtId="0" fontId="0" fillId="3" borderId="0" xfId="0" applyFont="1" applyFill="1" applyAlignment="1">
      <alignment horizontal="right"/>
    </xf>
    <xf numFmtId="6" fontId="0" fillId="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2"/>
    </xf>
    <xf numFmtId="6" fontId="2" fillId="0" borderId="10" xfId="0" applyNumberFormat="1" applyFont="1" applyFill="1" applyBorder="1" applyAlignment="1">
      <alignment horizontal="center"/>
    </xf>
    <xf numFmtId="6" fontId="2" fillId="0" borderId="11" xfId="0" applyNumberFormat="1" applyFont="1" applyFill="1" applyBorder="1" applyAlignment="1">
      <alignment horizontal="center"/>
    </xf>
    <xf numFmtId="6" fontId="2" fillId="0" borderId="12" xfId="0" applyNumberFormat="1" applyFont="1" applyFill="1" applyBorder="1" applyAlignment="1">
      <alignment horizontal="center"/>
    </xf>
    <xf numFmtId="6" fontId="2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29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Federal Taxes Owed (Left Axis)</c:v>
          </c:tx>
          <c:spPr>
            <a:ln w="63500"/>
          </c:spPr>
          <c:marker>
            <c:symbol val="none"/>
          </c:marker>
          <c:xVal>
            <c:numRef>
              <c:f>Sheet1!$B$38:$B$741</c:f>
              <c:numCache>
                <c:formatCode>"$"#,##0_);[Red]\("$"#,##0\)</c:formatCode>
                <c:ptCount val="70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  <c:pt idx="32">
                  <c:v>16500</c:v>
                </c:pt>
                <c:pt idx="33">
                  <c:v>17000</c:v>
                </c:pt>
                <c:pt idx="34">
                  <c:v>17500</c:v>
                </c:pt>
                <c:pt idx="35">
                  <c:v>18000</c:v>
                </c:pt>
                <c:pt idx="36">
                  <c:v>18500</c:v>
                </c:pt>
                <c:pt idx="37">
                  <c:v>19000</c:v>
                </c:pt>
                <c:pt idx="38">
                  <c:v>19500</c:v>
                </c:pt>
                <c:pt idx="39">
                  <c:v>20000</c:v>
                </c:pt>
                <c:pt idx="40">
                  <c:v>20500</c:v>
                </c:pt>
                <c:pt idx="41">
                  <c:v>21000</c:v>
                </c:pt>
                <c:pt idx="42">
                  <c:v>21500</c:v>
                </c:pt>
                <c:pt idx="43">
                  <c:v>22000</c:v>
                </c:pt>
                <c:pt idx="44">
                  <c:v>22500</c:v>
                </c:pt>
                <c:pt idx="45">
                  <c:v>23000</c:v>
                </c:pt>
                <c:pt idx="46">
                  <c:v>23500</c:v>
                </c:pt>
                <c:pt idx="47">
                  <c:v>24000</c:v>
                </c:pt>
                <c:pt idx="48">
                  <c:v>24500</c:v>
                </c:pt>
                <c:pt idx="49">
                  <c:v>25000</c:v>
                </c:pt>
                <c:pt idx="50">
                  <c:v>25500</c:v>
                </c:pt>
                <c:pt idx="51">
                  <c:v>26000</c:v>
                </c:pt>
                <c:pt idx="52">
                  <c:v>26500</c:v>
                </c:pt>
                <c:pt idx="53">
                  <c:v>27000</c:v>
                </c:pt>
                <c:pt idx="54">
                  <c:v>27500</c:v>
                </c:pt>
                <c:pt idx="55">
                  <c:v>28000</c:v>
                </c:pt>
                <c:pt idx="56">
                  <c:v>28500</c:v>
                </c:pt>
                <c:pt idx="57">
                  <c:v>29000</c:v>
                </c:pt>
                <c:pt idx="58">
                  <c:v>29500</c:v>
                </c:pt>
                <c:pt idx="59">
                  <c:v>30000</c:v>
                </c:pt>
                <c:pt idx="60">
                  <c:v>30500</c:v>
                </c:pt>
                <c:pt idx="61">
                  <c:v>31000</c:v>
                </c:pt>
                <c:pt idx="62">
                  <c:v>31500</c:v>
                </c:pt>
                <c:pt idx="63">
                  <c:v>32000</c:v>
                </c:pt>
                <c:pt idx="64">
                  <c:v>32500</c:v>
                </c:pt>
                <c:pt idx="65">
                  <c:v>33000</c:v>
                </c:pt>
                <c:pt idx="66">
                  <c:v>33500</c:v>
                </c:pt>
                <c:pt idx="67">
                  <c:v>34000</c:v>
                </c:pt>
                <c:pt idx="68">
                  <c:v>34500</c:v>
                </c:pt>
                <c:pt idx="69">
                  <c:v>35000</c:v>
                </c:pt>
                <c:pt idx="70">
                  <c:v>35500</c:v>
                </c:pt>
                <c:pt idx="71">
                  <c:v>36000</c:v>
                </c:pt>
                <c:pt idx="72">
                  <c:v>36500</c:v>
                </c:pt>
                <c:pt idx="73">
                  <c:v>37000</c:v>
                </c:pt>
                <c:pt idx="74">
                  <c:v>37500</c:v>
                </c:pt>
                <c:pt idx="75">
                  <c:v>38000</c:v>
                </c:pt>
                <c:pt idx="76">
                  <c:v>38500</c:v>
                </c:pt>
                <c:pt idx="77">
                  <c:v>39000</c:v>
                </c:pt>
                <c:pt idx="78">
                  <c:v>39500</c:v>
                </c:pt>
                <c:pt idx="79">
                  <c:v>40000</c:v>
                </c:pt>
                <c:pt idx="80">
                  <c:v>40500</c:v>
                </c:pt>
                <c:pt idx="81">
                  <c:v>41000</c:v>
                </c:pt>
                <c:pt idx="82">
                  <c:v>41500</c:v>
                </c:pt>
                <c:pt idx="83">
                  <c:v>42000</c:v>
                </c:pt>
                <c:pt idx="84">
                  <c:v>42500</c:v>
                </c:pt>
                <c:pt idx="85">
                  <c:v>43000</c:v>
                </c:pt>
                <c:pt idx="86">
                  <c:v>43500</c:v>
                </c:pt>
                <c:pt idx="87">
                  <c:v>44000</c:v>
                </c:pt>
                <c:pt idx="88">
                  <c:v>44500</c:v>
                </c:pt>
                <c:pt idx="89">
                  <c:v>45000</c:v>
                </c:pt>
                <c:pt idx="90">
                  <c:v>45500</c:v>
                </c:pt>
                <c:pt idx="91">
                  <c:v>46000</c:v>
                </c:pt>
                <c:pt idx="92">
                  <c:v>46500</c:v>
                </c:pt>
                <c:pt idx="93">
                  <c:v>47000</c:v>
                </c:pt>
                <c:pt idx="94">
                  <c:v>47500</c:v>
                </c:pt>
                <c:pt idx="95">
                  <c:v>48000</c:v>
                </c:pt>
                <c:pt idx="96">
                  <c:v>48500</c:v>
                </c:pt>
                <c:pt idx="97">
                  <c:v>49000</c:v>
                </c:pt>
                <c:pt idx="98">
                  <c:v>49500</c:v>
                </c:pt>
                <c:pt idx="99">
                  <c:v>50000</c:v>
                </c:pt>
                <c:pt idx="100">
                  <c:v>50500</c:v>
                </c:pt>
                <c:pt idx="101">
                  <c:v>51000</c:v>
                </c:pt>
                <c:pt idx="102">
                  <c:v>51500</c:v>
                </c:pt>
                <c:pt idx="103">
                  <c:v>52000</c:v>
                </c:pt>
                <c:pt idx="104">
                  <c:v>52500</c:v>
                </c:pt>
                <c:pt idx="105">
                  <c:v>53000</c:v>
                </c:pt>
                <c:pt idx="106">
                  <c:v>53500</c:v>
                </c:pt>
                <c:pt idx="107">
                  <c:v>54000</c:v>
                </c:pt>
                <c:pt idx="108">
                  <c:v>54500</c:v>
                </c:pt>
                <c:pt idx="109">
                  <c:v>55000</c:v>
                </c:pt>
                <c:pt idx="110">
                  <c:v>55500</c:v>
                </c:pt>
                <c:pt idx="111">
                  <c:v>56000</c:v>
                </c:pt>
                <c:pt idx="112">
                  <c:v>56500</c:v>
                </c:pt>
                <c:pt idx="113">
                  <c:v>57000</c:v>
                </c:pt>
                <c:pt idx="114">
                  <c:v>57500</c:v>
                </c:pt>
                <c:pt idx="115">
                  <c:v>58000</c:v>
                </c:pt>
                <c:pt idx="116">
                  <c:v>58500</c:v>
                </c:pt>
                <c:pt idx="117">
                  <c:v>59000</c:v>
                </c:pt>
                <c:pt idx="118">
                  <c:v>59500</c:v>
                </c:pt>
                <c:pt idx="119">
                  <c:v>60000</c:v>
                </c:pt>
                <c:pt idx="120">
                  <c:v>60500</c:v>
                </c:pt>
                <c:pt idx="121">
                  <c:v>61000</c:v>
                </c:pt>
                <c:pt idx="122">
                  <c:v>61500</c:v>
                </c:pt>
                <c:pt idx="123">
                  <c:v>62000</c:v>
                </c:pt>
                <c:pt idx="124">
                  <c:v>62500</c:v>
                </c:pt>
                <c:pt idx="125">
                  <c:v>63000</c:v>
                </c:pt>
                <c:pt idx="126">
                  <c:v>63500</c:v>
                </c:pt>
                <c:pt idx="127">
                  <c:v>64000</c:v>
                </c:pt>
                <c:pt idx="128">
                  <c:v>64500</c:v>
                </c:pt>
                <c:pt idx="129">
                  <c:v>65000</c:v>
                </c:pt>
                <c:pt idx="130">
                  <c:v>65500</c:v>
                </c:pt>
                <c:pt idx="131">
                  <c:v>66000</c:v>
                </c:pt>
                <c:pt idx="132">
                  <c:v>66500</c:v>
                </c:pt>
                <c:pt idx="133">
                  <c:v>67000</c:v>
                </c:pt>
                <c:pt idx="134">
                  <c:v>67500</c:v>
                </c:pt>
                <c:pt idx="135">
                  <c:v>68000</c:v>
                </c:pt>
                <c:pt idx="136">
                  <c:v>68500</c:v>
                </c:pt>
                <c:pt idx="137">
                  <c:v>69000</c:v>
                </c:pt>
                <c:pt idx="138">
                  <c:v>69500</c:v>
                </c:pt>
                <c:pt idx="139">
                  <c:v>70000</c:v>
                </c:pt>
                <c:pt idx="140">
                  <c:v>70500</c:v>
                </c:pt>
                <c:pt idx="141">
                  <c:v>71000</c:v>
                </c:pt>
                <c:pt idx="142">
                  <c:v>71500</c:v>
                </c:pt>
                <c:pt idx="143">
                  <c:v>72000</c:v>
                </c:pt>
                <c:pt idx="144">
                  <c:v>72500</c:v>
                </c:pt>
                <c:pt idx="145">
                  <c:v>73000</c:v>
                </c:pt>
                <c:pt idx="146">
                  <c:v>73500</c:v>
                </c:pt>
                <c:pt idx="147">
                  <c:v>74000</c:v>
                </c:pt>
                <c:pt idx="148">
                  <c:v>74500</c:v>
                </c:pt>
                <c:pt idx="149">
                  <c:v>75000</c:v>
                </c:pt>
                <c:pt idx="150">
                  <c:v>75500</c:v>
                </c:pt>
                <c:pt idx="151">
                  <c:v>76000</c:v>
                </c:pt>
                <c:pt idx="152">
                  <c:v>76500</c:v>
                </c:pt>
                <c:pt idx="153">
                  <c:v>77000</c:v>
                </c:pt>
                <c:pt idx="154">
                  <c:v>77500</c:v>
                </c:pt>
                <c:pt idx="155">
                  <c:v>78000</c:v>
                </c:pt>
                <c:pt idx="156">
                  <c:v>78500</c:v>
                </c:pt>
                <c:pt idx="157">
                  <c:v>79000</c:v>
                </c:pt>
                <c:pt idx="158">
                  <c:v>79500</c:v>
                </c:pt>
                <c:pt idx="159">
                  <c:v>80000</c:v>
                </c:pt>
                <c:pt idx="160">
                  <c:v>80500</c:v>
                </c:pt>
                <c:pt idx="161">
                  <c:v>81000</c:v>
                </c:pt>
                <c:pt idx="162">
                  <c:v>81500</c:v>
                </c:pt>
                <c:pt idx="163">
                  <c:v>82000</c:v>
                </c:pt>
                <c:pt idx="164">
                  <c:v>82500</c:v>
                </c:pt>
                <c:pt idx="165">
                  <c:v>83000</c:v>
                </c:pt>
                <c:pt idx="166">
                  <c:v>83500</c:v>
                </c:pt>
                <c:pt idx="167">
                  <c:v>84000</c:v>
                </c:pt>
                <c:pt idx="168">
                  <c:v>84500</c:v>
                </c:pt>
                <c:pt idx="169">
                  <c:v>85000</c:v>
                </c:pt>
                <c:pt idx="170">
                  <c:v>85500</c:v>
                </c:pt>
                <c:pt idx="171">
                  <c:v>86000</c:v>
                </c:pt>
                <c:pt idx="172">
                  <c:v>86500</c:v>
                </c:pt>
                <c:pt idx="173">
                  <c:v>87000</c:v>
                </c:pt>
                <c:pt idx="174">
                  <c:v>87500</c:v>
                </c:pt>
                <c:pt idx="175">
                  <c:v>88000</c:v>
                </c:pt>
                <c:pt idx="176">
                  <c:v>88500</c:v>
                </c:pt>
                <c:pt idx="177">
                  <c:v>89000</c:v>
                </c:pt>
                <c:pt idx="178">
                  <c:v>89500</c:v>
                </c:pt>
                <c:pt idx="179">
                  <c:v>90000</c:v>
                </c:pt>
                <c:pt idx="180">
                  <c:v>90500</c:v>
                </c:pt>
                <c:pt idx="181">
                  <c:v>91000</c:v>
                </c:pt>
                <c:pt idx="182">
                  <c:v>91500</c:v>
                </c:pt>
                <c:pt idx="183">
                  <c:v>92000</c:v>
                </c:pt>
                <c:pt idx="184">
                  <c:v>92500</c:v>
                </c:pt>
                <c:pt idx="185">
                  <c:v>93000</c:v>
                </c:pt>
                <c:pt idx="186">
                  <c:v>93500</c:v>
                </c:pt>
                <c:pt idx="187">
                  <c:v>94000</c:v>
                </c:pt>
                <c:pt idx="188">
                  <c:v>94500</c:v>
                </c:pt>
                <c:pt idx="189">
                  <c:v>95000</c:v>
                </c:pt>
                <c:pt idx="190">
                  <c:v>95500</c:v>
                </c:pt>
                <c:pt idx="191">
                  <c:v>96000</c:v>
                </c:pt>
                <c:pt idx="192">
                  <c:v>96500</c:v>
                </c:pt>
                <c:pt idx="193">
                  <c:v>97000</c:v>
                </c:pt>
                <c:pt idx="194">
                  <c:v>97500</c:v>
                </c:pt>
                <c:pt idx="195">
                  <c:v>98000</c:v>
                </c:pt>
                <c:pt idx="196">
                  <c:v>98500</c:v>
                </c:pt>
                <c:pt idx="197">
                  <c:v>99000</c:v>
                </c:pt>
                <c:pt idx="198">
                  <c:v>99500</c:v>
                </c:pt>
                <c:pt idx="199">
                  <c:v>100000</c:v>
                </c:pt>
                <c:pt idx="200">
                  <c:v>100500</c:v>
                </c:pt>
                <c:pt idx="201">
                  <c:v>101000</c:v>
                </c:pt>
                <c:pt idx="202">
                  <c:v>101500</c:v>
                </c:pt>
                <c:pt idx="203">
                  <c:v>102000</c:v>
                </c:pt>
                <c:pt idx="204">
                  <c:v>102500</c:v>
                </c:pt>
                <c:pt idx="205">
                  <c:v>103000</c:v>
                </c:pt>
                <c:pt idx="206">
                  <c:v>103500</c:v>
                </c:pt>
                <c:pt idx="207">
                  <c:v>104000</c:v>
                </c:pt>
                <c:pt idx="208">
                  <c:v>104500</c:v>
                </c:pt>
                <c:pt idx="209">
                  <c:v>105000</c:v>
                </c:pt>
                <c:pt idx="210">
                  <c:v>105500</c:v>
                </c:pt>
                <c:pt idx="211">
                  <c:v>106000</c:v>
                </c:pt>
                <c:pt idx="212">
                  <c:v>106500</c:v>
                </c:pt>
                <c:pt idx="213">
                  <c:v>107000</c:v>
                </c:pt>
                <c:pt idx="214">
                  <c:v>107500</c:v>
                </c:pt>
                <c:pt idx="215">
                  <c:v>108000</c:v>
                </c:pt>
                <c:pt idx="216">
                  <c:v>108500</c:v>
                </c:pt>
                <c:pt idx="217">
                  <c:v>109000</c:v>
                </c:pt>
                <c:pt idx="218">
                  <c:v>109500</c:v>
                </c:pt>
                <c:pt idx="219">
                  <c:v>110000</c:v>
                </c:pt>
                <c:pt idx="220">
                  <c:v>110500</c:v>
                </c:pt>
                <c:pt idx="221">
                  <c:v>111000</c:v>
                </c:pt>
                <c:pt idx="222">
                  <c:v>111500</c:v>
                </c:pt>
                <c:pt idx="223">
                  <c:v>112000</c:v>
                </c:pt>
                <c:pt idx="224">
                  <c:v>112500</c:v>
                </c:pt>
                <c:pt idx="225">
                  <c:v>113000</c:v>
                </c:pt>
                <c:pt idx="226">
                  <c:v>113500</c:v>
                </c:pt>
                <c:pt idx="227">
                  <c:v>114000</c:v>
                </c:pt>
                <c:pt idx="228">
                  <c:v>114500</c:v>
                </c:pt>
                <c:pt idx="229">
                  <c:v>115000</c:v>
                </c:pt>
                <c:pt idx="230">
                  <c:v>115500</c:v>
                </c:pt>
                <c:pt idx="231">
                  <c:v>116000</c:v>
                </c:pt>
                <c:pt idx="232">
                  <c:v>116500</c:v>
                </c:pt>
                <c:pt idx="233">
                  <c:v>117000</c:v>
                </c:pt>
                <c:pt idx="234">
                  <c:v>117500</c:v>
                </c:pt>
                <c:pt idx="235">
                  <c:v>118000</c:v>
                </c:pt>
                <c:pt idx="236">
                  <c:v>118500</c:v>
                </c:pt>
                <c:pt idx="237">
                  <c:v>119000</c:v>
                </c:pt>
                <c:pt idx="238">
                  <c:v>119500</c:v>
                </c:pt>
                <c:pt idx="239">
                  <c:v>120000</c:v>
                </c:pt>
                <c:pt idx="240">
                  <c:v>120500</c:v>
                </c:pt>
                <c:pt idx="241">
                  <c:v>121000</c:v>
                </c:pt>
                <c:pt idx="242">
                  <c:v>121500</c:v>
                </c:pt>
                <c:pt idx="243">
                  <c:v>122000</c:v>
                </c:pt>
                <c:pt idx="244">
                  <c:v>122500</c:v>
                </c:pt>
                <c:pt idx="245">
                  <c:v>123000</c:v>
                </c:pt>
                <c:pt idx="246">
                  <c:v>123500</c:v>
                </c:pt>
                <c:pt idx="247">
                  <c:v>124000</c:v>
                </c:pt>
                <c:pt idx="248">
                  <c:v>124500</c:v>
                </c:pt>
                <c:pt idx="249">
                  <c:v>125000</c:v>
                </c:pt>
                <c:pt idx="250">
                  <c:v>125500</c:v>
                </c:pt>
                <c:pt idx="251">
                  <c:v>126000</c:v>
                </c:pt>
                <c:pt idx="252">
                  <c:v>126500</c:v>
                </c:pt>
                <c:pt idx="253">
                  <c:v>127000</c:v>
                </c:pt>
                <c:pt idx="254">
                  <c:v>127500</c:v>
                </c:pt>
                <c:pt idx="255">
                  <c:v>128000</c:v>
                </c:pt>
                <c:pt idx="256">
                  <c:v>128500</c:v>
                </c:pt>
                <c:pt idx="257">
                  <c:v>129000</c:v>
                </c:pt>
                <c:pt idx="258">
                  <c:v>129500</c:v>
                </c:pt>
                <c:pt idx="259">
                  <c:v>130000</c:v>
                </c:pt>
                <c:pt idx="260">
                  <c:v>130500</c:v>
                </c:pt>
                <c:pt idx="261">
                  <c:v>131000</c:v>
                </c:pt>
                <c:pt idx="262">
                  <c:v>131500</c:v>
                </c:pt>
                <c:pt idx="263">
                  <c:v>132000</c:v>
                </c:pt>
                <c:pt idx="264">
                  <c:v>132500</c:v>
                </c:pt>
                <c:pt idx="265">
                  <c:v>133000</c:v>
                </c:pt>
                <c:pt idx="266">
                  <c:v>133500</c:v>
                </c:pt>
                <c:pt idx="267">
                  <c:v>134000</c:v>
                </c:pt>
                <c:pt idx="268">
                  <c:v>134500</c:v>
                </c:pt>
                <c:pt idx="269">
                  <c:v>135000</c:v>
                </c:pt>
                <c:pt idx="270">
                  <c:v>135500</c:v>
                </c:pt>
                <c:pt idx="271">
                  <c:v>136000</c:v>
                </c:pt>
                <c:pt idx="272">
                  <c:v>136500</c:v>
                </c:pt>
                <c:pt idx="273">
                  <c:v>137000</c:v>
                </c:pt>
                <c:pt idx="274">
                  <c:v>137500</c:v>
                </c:pt>
                <c:pt idx="275">
                  <c:v>138000</c:v>
                </c:pt>
                <c:pt idx="276">
                  <c:v>138500</c:v>
                </c:pt>
                <c:pt idx="277">
                  <c:v>139000</c:v>
                </c:pt>
                <c:pt idx="278">
                  <c:v>139500</c:v>
                </c:pt>
                <c:pt idx="279">
                  <c:v>140000</c:v>
                </c:pt>
                <c:pt idx="280">
                  <c:v>140500</c:v>
                </c:pt>
                <c:pt idx="281">
                  <c:v>141000</c:v>
                </c:pt>
                <c:pt idx="282">
                  <c:v>141500</c:v>
                </c:pt>
                <c:pt idx="283">
                  <c:v>142000</c:v>
                </c:pt>
                <c:pt idx="284">
                  <c:v>142500</c:v>
                </c:pt>
                <c:pt idx="285">
                  <c:v>143000</c:v>
                </c:pt>
                <c:pt idx="286">
                  <c:v>143500</c:v>
                </c:pt>
                <c:pt idx="287">
                  <c:v>144000</c:v>
                </c:pt>
                <c:pt idx="288">
                  <c:v>144500</c:v>
                </c:pt>
                <c:pt idx="289">
                  <c:v>145000</c:v>
                </c:pt>
                <c:pt idx="290">
                  <c:v>145500</c:v>
                </c:pt>
                <c:pt idx="291">
                  <c:v>146000</c:v>
                </c:pt>
                <c:pt idx="292">
                  <c:v>146500</c:v>
                </c:pt>
                <c:pt idx="293">
                  <c:v>147000</c:v>
                </c:pt>
                <c:pt idx="294">
                  <c:v>147500</c:v>
                </c:pt>
                <c:pt idx="295">
                  <c:v>148000</c:v>
                </c:pt>
                <c:pt idx="296">
                  <c:v>148500</c:v>
                </c:pt>
                <c:pt idx="297">
                  <c:v>149000</c:v>
                </c:pt>
                <c:pt idx="298">
                  <c:v>149500</c:v>
                </c:pt>
                <c:pt idx="299">
                  <c:v>150000</c:v>
                </c:pt>
                <c:pt idx="300">
                  <c:v>150500</c:v>
                </c:pt>
                <c:pt idx="301">
                  <c:v>151000</c:v>
                </c:pt>
                <c:pt idx="302">
                  <c:v>151500</c:v>
                </c:pt>
                <c:pt idx="303">
                  <c:v>152000</c:v>
                </c:pt>
                <c:pt idx="304">
                  <c:v>152500</c:v>
                </c:pt>
                <c:pt idx="305">
                  <c:v>153000</c:v>
                </c:pt>
                <c:pt idx="306">
                  <c:v>153500</c:v>
                </c:pt>
                <c:pt idx="307">
                  <c:v>154000</c:v>
                </c:pt>
                <c:pt idx="308">
                  <c:v>154500</c:v>
                </c:pt>
                <c:pt idx="309">
                  <c:v>155000</c:v>
                </c:pt>
                <c:pt idx="310">
                  <c:v>155500</c:v>
                </c:pt>
                <c:pt idx="311">
                  <c:v>156000</c:v>
                </c:pt>
                <c:pt idx="312">
                  <c:v>156500</c:v>
                </c:pt>
                <c:pt idx="313">
                  <c:v>157000</c:v>
                </c:pt>
                <c:pt idx="314">
                  <c:v>157500</c:v>
                </c:pt>
                <c:pt idx="315">
                  <c:v>158000</c:v>
                </c:pt>
                <c:pt idx="316">
                  <c:v>158500</c:v>
                </c:pt>
                <c:pt idx="317">
                  <c:v>159000</c:v>
                </c:pt>
                <c:pt idx="318">
                  <c:v>159500</c:v>
                </c:pt>
                <c:pt idx="319">
                  <c:v>160000</c:v>
                </c:pt>
                <c:pt idx="320">
                  <c:v>160500</c:v>
                </c:pt>
                <c:pt idx="321">
                  <c:v>161000</c:v>
                </c:pt>
                <c:pt idx="322">
                  <c:v>161500</c:v>
                </c:pt>
                <c:pt idx="323">
                  <c:v>162000</c:v>
                </c:pt>
                <c:pt idx="324">
                  <c:v>162500</c:v>
                </c:pt>
                <c:pt idx="325">
                  <c:v>163000</c:v>
                </c:pt>
                <c:pt idx="326">
                  <c:v>163500</c:v>
                </c:pt>
                <c:pt idx="327">
                  <c:v>164000</c:v>
                </c:pt>
                <c:pt idx="328">
                  <c:v>164500</c:v>
                </c:pt>
                <c:pt idx="329">
                  <c:v>165000</c:v>
                </c:pt>
                <c:pt idx="330">
                  <c:v>165500</c:v>
                </c:pt>
                <c:pt idx="331">
                  <c:v>166000</c:v>
                </c:pt>
                <c:pt idx="332">
                  <c:v>166500</c:v>
                </c:pt>
                <c:pt idx="333">
                  <c:v>167000</c:v>
                </c:pt>
                <c:pt idx="334">
                  <c:v>167500</c:v>
                </c:pt>
                <c:pt idx="335">
                  <c:v>168000</c:v>
                </c:pt>
                <c:pt idx="336">
                  <c:v>168500</c:v>
                </c:pt>
                <c:pt idx="337">
                  <c:v>169000</c:v>
                </c:pt>
                <c:pt idx="338">
                  <c:v>169500</c:v>
                </c:pt>
                <c:pt idx="339">
                  <c:v>170000</c:v>
                </c:pt>
                <c:pt idx="340">
                  <c:v>170500</c:v>
                </c:pt>
                <c:pt idx="341">
                  <c:v>171000</c:v>
                </c:pt>
                <c:pt idx="342">
                  <c:v>171500</c:v>
                </c:pt>
                <c:pt idx="343">
                  <c:v>172000</c:v>
                </c:pt>
                <c:pt idx="344">
                  <c:v>172500</c:v>
                </c:pt>
                <c:pt idx="345">
                  <c:v>173000</c:v>
                </c:pt>
                <c:pt idx="346">
                  <c:v>173500</c:v>
                </c:pt>
                <c:pt idx="347">
                  <c:v>174000</c:v>
                </c:pt>
                <c:pt idx="348">
                  <c:v>174500</c:v>
                </c:pt>
                <c:pt idx="349">
                  <c:v>175000</c:v>
                </c:pt>
                <c:pt idx="350">
                  <c:v>175500</c:v>
                </c:pt>
                <c:pt idx="351">
                  <c:v>176000</c:v>
                </c:pt>
                <c:pt idx="352">
                  <c:v>176500</c:v>
                </c:pt>
                <c:pt idx="353">
                  <c:v>177000</c:v>
                </c:pt>
                <c:pt idx="354">
                  <c:v>177500</c:v>
                </c:pt>
                <c:pt idx="355">
                  <c:v>178000</c:v>
                </c:pt>
                <c:pt idx="356">
                  <c:v>178500</c:v>
                </c:pt>
                <c:pt idx="357">
                  <c:v>179000</c:v>
                </c:pt>
                <c:pt idx="358">
                  <c:v>179500</c:v>
                </c:pt>
                <c:pt idx="359">
                  <c:v>180000</c:v>
                </c:pt>
                <c:pt idx="360">
                  <c:v>180500</c:v>
                </c:pt>
                <c:pt idx="361">
                  <c:v>181000</c:v>
                </c:pt>
                <c:pt idx="362">
                  <c:v>181500</c:v>
                </c:pt>
                <c:pt idx="363">
                  <c:v>182000</c:v>
                </c:pt>
                <c:pt idx="364">
                  <c:v>182500</c:v>
                </c:pt>
                <c:pt idx="365">
                  <c:v>183000</c:v>
                </c:pt>
                <c:pt idx="366">
                  <c:v>183500</c:v>
                </c:pt>
                <c:pt idx="367">
                  <c:v>184000</c:v>
                </c:pt>
                <c:pt idx="368">
                  <c:v>184500</c:v>
                </c:pt>
                <c:pt idx="369">
                  <c:v>185000</c:v>
                </c:pt>
                <c:pt idx="370">
                  <c:v>185500</c:v>
                </c:pt>
                <c:pt idx="371">
                  <c:v>186000</c:v>
                </c:pt>
                <c:pt idx="372">
                  <c:v>186500</c:v>
                </c:pt>
                <c:pt idx="373">
                  <c:v>187000</c:v>
                </c:pt>
                <c:pt idx="374">
                  <c:v>187500</c:v>
                </c:pt>
                <c:pt idx="375">
                  <c:v>188000</c:v>
                </c:pt>
                <c:pt idx="376">
                  <c:v>188500</c:v>
                </c:pt>
                <c:pt idx="377">
                  <c:v>189000</c:v>
                </c:pt>
                <c:pt idx="378">
                  <c:v>189500</c:v>
                </c:pt>
                <c:pt idx="379">
                  <c:v>190000</c:v>
                </c:pt>
                <c:pt idx="380">
                  <c:v>190500</c:v>
                </c:pt>
                <c:pt idx="381">
                  <c:v>191000</c:v>
                </c:pt>
                <c:pt idx="382">
                  <c:v>191500</c:v>
                </c:pt>
                <c:pt idx="383">
                  <c:v>192000</c:v>
                </c:pt>
                <c:pt idx="384">
                  <c:v>192500</c:v>
                </c:pt>
                <c:pt idx="385">
                  <c:v>193000</c:v>
                </c:pt>
                <c:pt idx="386">
                  <c:v>193500</c:v>
                </c:pt>
                <c:pt idx="387">
                  <c:v>194000</c:v>
                </c:pt>
                <c:pt idx="388">
                  <c:v>194500</c:v>
                </c:pt>
                <c:pt idx="389">
                  <c:v>195000</c:v>
                </c:pt>
                <c:pt idx="390">
                  <c:v>195500</c:v>
                </c:pt>
                <c:pt idx="391">
                  <c:v>196000</c:v>
                </c:pt>
                <c:pt idx="392">
                  <c:v>196500</c:v>
                </c:pt>
                <c:pt idx="393">
                  <c:v>197000</c:v>
                </c:pt>
                <c:pt idx="394">
                  <c:v>197500</c:v>
                </c:pt>
                <c:pt idx="395">
                  <c:v>198000</c:v>
                </c:pt>
                <c:pt idx="396">
                  <c:v>198500</c:v>
                </c:pt>
                <c:pt idx="397">
                  <c:v>199000</c:v>
                </c:pt>
                <c:pt idx="398">
                  <c:v>199500</c:v>
                </c:pt>
                <c:pt idx="399">
                  <c:v>200000</c:v>
                </c:pt>
                <c:pt idx="400">
                  <c:v>200500</c:v>
                </c:pt>
                <c:pt idx="401">
                  <c:v>201000</c:v>
                </c:pt>
                <c:pt idx="402">
                  <c:v>201500</c:v>
                </c:pt>
                <c:pt idx="403">
                  <c:v>202000</c:v>
                </c:pt>
                <c:pt idx="404">
                  <c:v>202500</c:v>
                </c:pt>
                <c:pt idx="405">
                  <c:v>203000</c:v>
                </c:pt>
                <c:pt idx="406">
                  <c:v>203500</c:v>
                </c:pt>
                <c:pt idx="407">
                  <c:v>204000</c:v>
                </c:pt>
                <c:pt idx="408">
                  <c:v>204500</c:v>
                </c:pt>
                <c:pt idx="409">
                  <c:v>205000</c:v>
                </c:pt>
                <c:pt idx="410">
                  <c:v>205500</c:v>
                </c:pt>
                <c:pt idx="411">
                  <c:v>206000</c:v>
                </c:pt>
                <c:pt idx="412">
                  <c:v>206500</c:v>
                </c:pt>
                <c:pt idx="413">
                  <c:v>207000</c:v>
                </c:pt>
                <c:pt idx="414">
                  <c:v>207500</c:v>
                </c:pt>
                <c:pt idx="415">
                  <c:v>208000</c:v>
                </c:pt>
                <c:pt idx="416">
                  <c:v>208500</c:v>
                </c:pt>
                <c:pt idx="417">
                  <c:v>209000</c:v>
                </c:pt>
                <c:pt idx="418">
                  <c:v>209500</c:v>
                </c:pt>
                <c:pt idx="419">
                  <c:v>210000</c:v>
                </c:pt>
                <c:pt idx="420">
                  <c:v>210500</c:v>
                </c:pt>
                <c:pt idx="421">
                  <c:v>211000</c:v>
                </c:pt>
                <c:pt idx="422">
                  <c:v>211500</c:v>
                </c:pt>
                <c:pt idx="423">
                  <c:v>212000</c:v>
                </c:pt>
                <c:pt idx="424">
                  <c:v>212500</c:v>
                </c:pt>
                <c:pt idx="425">
                  <c:v>213000</c:v>
                </c:pt>
                <c:pt idx="426">
                  <c:v>213500</c:v>
                </c:pt>
                <c:pt idx="427">
                  <c:v>214000</c:v>
                </c:pt>
                <c:pt idx="428">
                  <c:v>214500</c:v>
                </c:pt>
                <c:pt idx="429">
                  <c:v>215000</c:v>
                </c:pt>
                <c:pt idx="430">
                  <c:v>215500</c:v>
                </c:pt>
                <c:pt idx="431">
                  <c:v>216000</c:v>
                </c:pt>
                <c:pt idx="432">
                  <c:v>216500</c:v>
                </c:pt>
                <c:pt idx="433">
                  <c:v>217000</c:v>
                </c:pt>
                <c:pt idx="434">
                  <c:v>217500</c:v>
                </c:pt>
                <c:pt idx="435">
                  <c:v>218000</c:v>
                </c:pt>
                <c:pt idx="436">
                  <c:v>218500</c:v>
                </c:pt>
                <c:pt idx="437">
                  <c:v>219000</c:v>
                </c:pt>
                <c:pt idx="438">
                  <c:v>219500</c:v>
                </c:pt>
                <c:pt idx="439">
                  <c:v>220000</c:v>
                </c:pt>
                <c:pt idx="440">
                  <c:v>220500</c:v>
                </c:pt>
                <c:pt idx="441">
                  <c:v>221000</c:v>
                </c:pt>
                <c:pt idx="442">
                  <c:v>221500</c:v>
                </c:pt>
                <c:pt idx="443">
                  <c:v>222000</c:v>
                </c:pt>
                <c:pt idx="444">
                  <c:v>222500</c:v>
                </c:pt>
                <c:pt idx="445">
                  <c:v>223000</c:v>
                </c:pt>
                <c:pt idx="446">
                  <c:v>223500</c:v>
                </c:pt>
                <c:pt idx="447">
                  <c:v>224000</c:v>
                </c:pt>
                <c:pt idx="448">
                  <c:v>224500</c:v>
                </c:pt>
                <c:pt idx="449">
                  <c:v>225000</c:v>
                </c:pt>
                <c:pt idx="450">
                  <c:v>225500</c:v>
                </c:pt>
                <c:pt idx="451">
                  <c:v>226000</c:v>
                </c:pt>
                <c:pt idx="452">
                  <c:v>226500</c:v>
                </c:pt>
                <c:pt idx="453">
                  <c:v>227000</c:v>
                </c:pt>
                <c:pt idx="454">
                  <c:v>227500</c:v>
                </c:pt>
                <c:pt idx="455">
                  <c:v>228000</c:v>
                </c:pt>
                <c:pt idx="456">
                  <c:v>228500</c:v>
                </c:pt>
                <c:pt idx="457">
                  <c:v>229000</c:v>
                </c:pt>
                <c:pt idx="458">
                  <c:v>229500</c:v>
                </c:pt>
                <c:pt idx="459">
                  <c:v>230000</c:v>
                </c:pt>
                <c:pt idx="460">
                  <c:v>230500</c:v>
                </c:pt>
                <c:pt idx="461">
                  <c:v>231000</c:v>
                </c:pt>
                <c:pt idx="462">
                  <c:v>231500</c:v>
                </c:pt>
                <c:pt idx="463">
                  <c:v>232000</c:v>
                </c:pt>
                <c:pt idx="464">
                  <c:v>232500</c:v>
                </c:pt>
                <c:pt idx="465">
                  <c:v>233000</c:v>
                </c:pt>
                <c:pt idx="466">
                  <c:v>233500</c:v>
                </c:pt>
                <c:pt idx="467">
                  <c:v>234000</c:v>
                </c:pt>
                <c:pt idx="468">
                  <c:v>234500</c:v>
                </c:pt>
                <c:pt idx="469">
                  <c:v>235000</c:v>
                </c:pt>
                <c:pt idx="470">
                  <c:v>235500</c:v>
                </c:pt>
                <c:pt idx="471">
                  <c:v>236000</c:v>
                </c:pt>
                <c:pt idx="472">
                  <c:v>236500</c:v>
                </c:pt>
                <c:pt idx="473">
                  <c:v>237000</c:v>
                </c:pt>
                <c:pt idx="474">
                  <c:v>237500</c:v>
                </c:pt>
                <c:pt idx="475">
                  <c:v>238000</c:v>
                </c:pt>
                <c:pt idx="476">
                  <c:v>238500</c:v>
                </c:pt>
                <c:pt idx="477">
                  <c:v>239000</c:v>
                </c:pt>
                <c:pt idx="478">
                  <c:v>239500</c:v>
                </c:pt>
                <c:pt idx="479">
                  <c:v>240000</c:v>
                </c:pt>
                <c:pt idx="480">
                  <c:v>240500</c:v>
                </c:pt>
                <c:pt idx="481">
                  <c:v>241000</c:v>
                </c:pt>
                <c:pt idx="482">
                  <c:v>241500</c:v>
                </c:pt>
                <c:pt idx="483">
                  <c:v>242000</c:v>
                </c:pt>
                <c:pt idx="484">
                  <c:v>242500</c:v>
                </c:pt>
                <c:pt idx="485">
                  <c:v>243000</c:v>
                </c:pt>
                <c:pt idx="486">
                  <c:v>243500</c:v>
                </c:pt>
                <c:pt idx="487">
                  <c:v>244000</c:v>
                </c:pt>
                <c:pt idx="488">
                  <c:v>244500</c:v>
                </c:pt>
                <c:pt idx="489">
                  <c:v>245000</c:v>
                </c:pt>
                <c:pt idx="490">
                  <c:v>245500</c:v>
                </c:pt>
                <c:pt idx="491">
                  <c:v>246000</c:v>
                </c:pt>
                <c:pt idx="492">
                  <c:v>246500</c:v>
                </c:pt>
                <c:pt idx="493">
                  <c:v>247000</c:v>
                </c:pt>
                <c:pt idx="494">
                  <c:v>247500</c:v>
                </c:pt>
                <c:pt idx="495">
                  <c:v>248000</c:v>
                </c:pt>
                <c:pt idx="496">
                  <c:v>248500</c:v>
                </c:pt>
                <c:pt idx="497">
                  <c:v>249000</c:v>
                </c:pt>
                <c:pt idx="498">
                  <c:v>249500</c:v>
                </c:pt>
                <c:pt idx="499">
                  <c:v>250000</c:v>
                </c:pt>
                <c:pt idx="500">
                  <c:v>250500</c:v>
                </c:pt>
                <c:pt idx="501">
                  <c:v>251000</c:v>
                </c:pt>
                <c:pt idx="502">
                  <c:v>251500</c:v>
                </c:pt>
                <c:pt idx="503">
                  <c:v>252000</c:v>
                </c:pt>
                <c:pt idx="504">
                  <c:v>252500</c:v>
                </c:pt>
                <c:pt idx="505">
                  <c:v>253000</c:v>
                </c:pt>
                <c:pt idx="506">
                  <c:v>253500</c:v>
                </c:pt>
                <c:pt idx="507">
                  <c:v>254000</c:v>
                </c:pt>
                <c:pt idx="508">
                  <c:v>254500</c:v>
                </c:pt>
                <c:pt idx="509">
                  <c:v>255000</c:v>
                </c:pt>
                <c:pt idx="510">
                  <c:v>255500</c:v>
                </c:pt>
                <c:pt idx="511">
                  <c:v>256000</c:v>
                </c:pt>
                <c:pt idx="512">
                  <c:v>256500</c:v>
                </c:pt>
                <c:pt idx="513">
                  <c:v>257000</c:v>
                </c:pt>
                <c:pt idx="514">
                  <c:v>257500</c:v>
                </c:pt>
                <c:pt idx="515">
                  <c:v>258000</c:v>
                </c:pt>
                <c:pt idx="516">
                  <c:v>258500</c:v>
                </c:pt>
                <c:pt idx="517">
                  <c:v>259000</c:v>
                </c:pt>
                <c:pt idx="518">
                  <c:v>259500</c:v>
                </c:pt>
                <c:pt idx="519">
                  <c:v>260000</c:v>
                </c:pt>
                <c:pt idx="520">
                  <c:v>260500</c:v>
                </c:pt>
                <c:pt idx="521">
                  <c:v>261000</c:v>
                </c:pt>
                <c:pt idx="522">
                  <c:v>261500</c:v>
                </c:pt>
                <c:pt idx="523">
                  <c:v>262000</c:v>
                </c:pt>
                <c:pt idx="524">
                  <c:v>262500</c:v>
                </c:pt>
                <c:pt idx="525">
                  <c:v>263000</c:v>
                </c:pt>
                <c:pt idx="526">
                  <c:v>263500</c:v>
                </c:pt>
                <c:pt idx="527">
                  <c:v>264000</c:v>
                </c:pt>
                <c:pt idx="528">
                  <c:v>264500</c:v>
                </c:pt>
                <c:pt idx="529">
                  <c:v>265000</c:v>
                </c:pt>
                <c:pt idx="530">
                  <c:v>265500</c:v>
                </c:pt>
                <c:pt idx="531">
                  <c:v>266000</c:v>
                </c:pt>
                <c:pt idx="532">
                  <c:v>266500</c:v>
                </c:pt>
                <c:pt idx="533">
                  <c:v>267000</c:v>
                </c:pt>
                <c:pt idx="534">
                  <c:v>267500</c:v>
                </c:pt>
                <c:pt idx="535">
                  <c:v>268000</c:v>
                </c:pt>
                <c:pt idx="536">
                  <c:v>268500</c:v>
                </c:pt>
                <c:pt idx="537">
                  <c:v>269000</c:v>
                </c:pt>
                <c:pt idx="538">
                  <c:v>269500</c:v>
                </c:pt>
                <c:pt idx="539">
                  <c:v>270000</c:v>
                </c:pt>
                <c:pt idx="540">
                  <c:v>270500</c:v>
                </c:pt>
                <c:pt idx="541">
                  <c:v>271000</c:v>
                </c:pt>
                <c:pt idx="542">
                  <c:v>271500</c:v>
                </c:pt>
                <c:pt idx="543">
                  <c:v>272000</c:v>
                </c:pt>
                <c:pt idx="544">
                  <c:v>272500</c:v>
                </c:pt>
                <c:pt idx="545">
                  <c:v>273000</c:v>
                </c:pt>
                <c:pt idx="546">
                  <c:v>273500</c:v>
                </c:pt>
                <c:pt idx="547">
                  <c:v>274000</c:v>
                </c:pt>
                <c:pt idx="548">
                  <c:v>274500</c:v>
                </c:pt>
                <c:pt idx="549">
                  <c:v>275000</c:v>
                </c:pt>
                <c:pt idx="550">
                  <c:v>275500</c:v>
                </c:pt>
                <c:pt idx="551">
                  <c:v>276000</c:v>
                </c:pt>
                <c:pt idx="552">
                  <c:v>276500</c:v>
                </c:pt>
                <c:pt idx="553">
                  <c:v>277000</c:v>
                </c:pt>
                <c:pt idx="554">
                  <c:v>277500</c:v>
                </c:pt>
                <c:pt idx="555">
                  <c:v>278000</c:v>
                </c:pt>
                <c:pt idx="556">
                  <c:v>278500</c:v>
                </c:pt>
                <c:pt idx="557">
                  <c:v>279000</c:v>
                </c:pt>
                <c:pt idx="558">
                  <c:v>279500</c:v>
                </c:pt>
                <c:pt idx="559">
                  <c:v>280000</c:v>
                </c:pt>
                <c:pt idx="560">
                  <c:v>280500</c:v>
                </c:pt>
                <c:pt idx="561">
                  <c:v>281000</c:v>
                </c:pt>
                <c:pt idx="562">
                  <c:v>281500</c:v>
                </c:pt>
                <c:pt idx="563">
                  <c:v>282000</c:v>
                </c:pt>
                <c:pt idx="564">
                  <c:v>282500</c:v>
                </c:pt>
                <c:pt idx="565">
                  <c:v>283000</c:v>
                </c:pt>
                <c:pt idx="566">
                  <c:v>283500</c:v>
                </c:pt>
                <c:pt idx="567">
                  <c:v>284000</c:v>
                </c:pt>
                <c:pt idx="568">
                  <c:v>284500</c:v>
                </c:pt>
                <c:pt idx="569">
                  <c:v>285000</c:v>
                </c:pt>
                <c:pt idx="570">
                  <c:v>285500</c:v>
                </c:pt>
                <c:pt idx="571">
                  <c:v>286000</c:v>
                </c:pt>
                <c:pt idx="572">
                  <c:v>286500</c:v>
                </c:pt>
                <c:pt idx="573">
                  <c:v>287000</c:v>
                </c:pt>
                <c:pt idx="574">
                  <c:v>287500</c:v>
                </c:pt>
                <c:pt idx="575">
                  <c:v>288000</c:v>
                </c:pt>
                <c:pt idx="576">
                  <c:v>288500</c:v>
                </c:pt>
                <c:pt idx="577">
                  <c:v>289000</c:v>
                </c:pt>
                <c:pt idx="578">
                  <c:v>289500</c:v>
                </c:pt>
                <c:pt idx="579">
                  <c:v>290000</c:v>
                </c:pt>
                <c:pt idx="580">
                  <c:v>290500</c:v>
                </c:pt>
                <c:pt idx="581">
                  <c:v>291000</c:v>
                </c:pt>
                <c:pt idx="582">
                  <c:v>291500</c:v>
                </c:pt>
                <c:pt idx="583">
                  <c:v>292000</c:v>
                </c:pt>
                <c:pt idx="584">
                  <c:v>292500</c:v>
                </c:pt>
                <c:pt idx="585">
                  <c:v>293000</c:v>
                </c:pt>
                <c:pt idx="586">
                  <c:v>293500</c:v>
                </c:pt>
                <c:pt idx="587">
                  <c:v>294000</c:v>
                </c:pt>
                <c:pt idx="588">
                  <c:v>294500</c:v>
                </c:pt>
                <c:pt idx="589">
                  <c:v>295000</c:v>
                </c:pt>
                <c:pt idx="590">
                  <c:v>295500</c:v>
                </c:pt>
                <c:pt idx="591">
                  <c:v>296000</c:v>
                </c:pt>
                <c:pt idx="592">
                  <c:v>296500</c:v>
                </c:pt>
                <c:pt idx="593">
                  <c:v>297000</c:v>
                </c:pt>
                <c:pt idx="594">
                  <c:v>297500</c:v>
                </c:pt>
                <c:pt idx="595">
                  <c:v>298000</c:v>
                </c:pt>
                <c:pt idx="596">
                  <c:v>298500</c:v>
                </c:pt>
                <c:pt idx="597">
                  <c:v>299000</c:v>
                </c:pt>
                <c:pt idx="598">
                  <c:v>299500</c:v>
                </c:pt>
                <c:pt idx="599">
                  <c:v>300000</c:v>
                </c:pt>
                <c:pt idx="600">
                  <c:v>300500</c:v>
                </c:pt>
                <c:pt idx="601">
                  <c:v>301000</c:v>
                </c:pt>
                <c:pt idx="602">
                  <c:v>301500</c:v>
                </c:pt>
                <c:pt idx="603">
                  <c:v>302000</c:v>
                </c:pt>
                <c:pt idx="604">
                  <c:v>302500</c:v>
                </c:pt>
                <c:pt idx="605">
                  <c:v>303000</c:v>
                </c:pt>
                <c:pt idx="606">
                  <c:v>303500</c:v>
                </c:pt>
                <c:pt idx="607">
                  <c:v>304000</c:v>
                </c:pt>
                <c:pt idx="608">
                  <c:v>304500</c:v>
                </c:pt>
                <c:pt idx="609">
                  <c:v>305000</c:v>
                </c:pt>
                <c:pt idx="610">
                  <c:v>305500</c:v>
                </c:pt>
                <c:pt idx="611">
                  <c:v>306000</c:v>
                </c:pt>
                <c:pt idx="612">
                  <c:v>306500</c:v>
                </c:pt>
                <c:pt idx="613">
                  <c:v>307000</c:v>
                </c:pt>
                <c:pt idx="614">
                  <c:v>307500</c:v>
                </c:pt>
                <c:pt idx="615">
                  <c:v>308000</c:v>
                </c:pt>
                <c:pt idx="616">
                  <c:v>308500</c:v>
                </c:pt>
                <c:pt idx="617">
                  <c:v>309000</c:v>
                </c:pt>
                <c:pt idx="618">
                  <c:v>309500</c:v>
                </c:pt>
                <c:pt idx="619">
                  <c:v>310000</c:v>
                </c:pt>
                <c:pt idx="620">
                  <c:v>310500</c:v>
                </c:pt>
                <c:pt idx="621">
                  <c:v>311000</c:v>
                </c:pt>
                <c:pt idx="622">
                  <c:v>311500</c:v>
                </c:pt>
                <c:pt idx="623">
                  <c:v>312000</c:v>
                </c:pt>
                <c:pt idx="624">
                  <c:v>312500</c:v>
                </c:pt>
                <c:pt idx="625">
                  <c:v>313000</c:v>
                </c:pt>
                <c:pt idx="626">
                  <c:v>313500</c:v>
                </c:pt>
                <c:pt idx="627">
                  <c:v>314000</c:v>
                </c:pt>
                <c:pt idx="628">
                  <c:v>314500</c:v>
                </c:pt>
                <c:pt idx="629">
                  <c:v>315000</c:v>
                </c:pt>
                <c:pt idx="630">
                  <c:v>315500</c:v>
                </c:pt>
                <c:pt idx="631">
                  <c:v>316000</c:v>
                </c:pt>
                <c:pt idx="632">
                  <c:v>316500</c:v>
                </c:pt>
                <c:pt idx="633">
                  <c:v>317000</c:v>
                </c:pt>
                <c:pt idx="634">
                  <c:v>317500</c:v>
                </c:pt>
                <c:pt idx="635">
                  <c:v>318000</c:v>
                </c:pt>
                <c:pt idx="636">
                  <c:v>318500</c:v>
                </c:pt>
                <c:pt idx="637">
                  <c:v>319000</c:v>
                </c:pt>
                <c:pt idx="638">
                  <c:v>319500</c:v>
                </c:pt>
                <c:pt idx="639">
                  <c:v>320000</c:v>
                </c:pt>
                <c:pt idx="640">
                  <c:v>320500</c:v>
                </c:pt>
                <c:pt idx="641">
                  <c:v>321000</c:v>
                </c:pt>
                <c:pt idx="642">
                  <c:v>321500</c:v>
                </c:pt>
                <c:pt idx="643">
                  <c:v>322000</c:v>
                </c:pt>
                <c:pt idx="644">
                  <c:v>322500</c:v>
                </c:pt>
                <c:pt idx="645">
                  <c:v>323000</c:v>
                </c:pt>
                <c:pt idx="646">
                  <c:v>323500</c:v>
                </c:pt>
                <c:pt idx="647">
                  <c:v>324000</c:v>
                </c:pt>
                <c:pt idx="648">
                  <c:v>324500</c:v>
                </c:pt>
                <c:pt idx="649">
                  <c:v>325000</c:v>
                </c:pt>
                <c:pt idx="650">
                  <c:v>325500</c:v>
                </c:pt>
                <c:pt idx="651">
                  <c:v>326000</c:v>
                </c:pt>
                <c:pt idx="652">
                  <c:v>326500</c:v>
                </c:pt>
                <c:pt idx="653">
                  <c:v>327000</c:v>
                </c:pt>
                <c:pt idx="654">
                  <c:v>327500</c:v>
                </c:pt>
                <c:pt idx="655">
                  <c:v>328000</c:v>
                </c:pt>
                <c:pt idx="656">
                  <c:v>328500</c:v>
                </c:pt>
                <c:pt idx="657">
                  <c:v>329000</c:v>
                </c:pt>
                <c:pt idx="658">
                  <c:v>329500</c:v>
                </c:pt>
                <c:pt idx="659">
                  <c:v>330000</c:v>
                </c:pt>
                <c:pt idx="660">
                  <c:v>330500</c:v>
                </c:pt>
                <c:pt idx="661">
                  <c:v>331000</c:v>
                </c:pt>
                <c:pt idx="662">
                  <c:v>331500</c:v>
                </c:pt>
                <c:pt idx="663">
                  <c:v>332000</c:v>
                </c:pt>
                <c:pt idx="664">
                  <c:v>332500</c:v>
                </c:pt>
                <c:pt idx="665">
                  <c:v>333000</c:v>
                </c:pt>
                <c:pt idx="666">
                  <c:v>333500</c:v>
                </c:pt>
                <c:pt idx="667">
                  <c:v>334000</c:v>
                </c:pt>
                <c:pt idx="668">
                  <c:v>334500</c:v>
                </c:pt>
                <c:pt idx="669">
                  <c:v>335000</c:v>
                </c:pt>
                <c:pt idx="670">
                  <c:v>335500</c:v>
                </c:pt>
                <c:pt idx="671">
                  <c:v>336000</c:v>
                </c:pt>
                <c:pt idx="672">
                  <c:v>336500</c:v>
                </c:pt>
                <c:pt idx="673">
                  <c:v>337000</c:v>
                </c:pt>
                <c:pt idx="674">
                  <c:v>337500</c:v>
                </c:pt>
                <c:pt idx="675">
                  <c:v>338000</c:v>
                </c:pt>
                <c:pt idx="676">
                  <c:v>338500</c:v>
                </c:pt>
                <c:pt idx="677">
                  <c:v>339000</c:v>
                </c:pt>
                <c:pt idx="678">
                  <c:v>339500</c:v>
                </c:pt>
                <c:pt idx="679">
                  <c:v>340000</c:v>
                </c:pt>
                <c:pt idx="680">
                  <c:v>340500</c:v>
                </c:pt>
                <c:pt idx="681">
                  <c:v>341000</c:v>
                </c:pt>
                <c:pt idx="682">
                  <c:v>341500</c:v>
                </c:pt>
                <c:pt idx="683">
                  <c:v>342000</c:v>
                </c:pt>
                <c:pt idx="684">
                  <c:v>342500</c:v>
                </c:pt>
                <c:pt idx="685">
                  <c:v>343000</c:v>
                </c:pt>
                <c:pt idx="686">
                  <c:v>343500</c:v>
                </c:pt>
                <c:pt idx="687">
                  <c:v>344000</c:v>
                </c:pt>
                <c:pt idx="688">
                  <c:v>344500</c:v>
                </c:pt>
                <c:pt idx="689">
                  <c:v>345000</c:v>
                </c:pt>
                <c:pt idx="690">
                  <c:v>345500</c:v>
                </c:pt>
                <c:pt idx="691">
                  <c:v>346000</c:v>
                </c:pt>
                <c:pt idx="692">
                  <c:v>346500</c:v>
                </c:pt>
                <c:pt idx="693">
                  <c:v>347000</c:v>
                </c:pt>
                <c:pt idx="694">
                  <c:v>347500</c:v>
                </c:pt>
                <c:pt idx="695">
                  <c:v>348000</c:v>
                </c:pt>
                <c:pt idx="696">
                  <c:v>348500</c:v>
                </c:pt>
                <c:pt idx="697">
                  <c:v>349000</c:v>
                </c:pt>
                <c:pt idx="698">
                  <c:v>349500</c:v>
                </c:pt>
                <c:pt idx="699">
                  <c:v>350000</c:v>
                </c:pt>
                <c:pt idx="700">
                  <c:v>350500</c:v>
                </c:pt>
                <c:pt idx="701">
                  <c:v>351000</c:v>
                </c:pt>
                <c:pt idx="702">
                  <c:v>351500</c:v>
                </c:pt>
                <c:pt idx="703">
                  <c:v>352000</c:v>
                </c:pt>
              </c:numCache>
            </c:numRef>
          </c:xVal>
          <c:yVal>
            <c:numRef>
              <c:f>Sheet1!$Z$38:$Z$741</c:f>
              <c:numCache>
                <c:formatCode>"$"#,##0_);[Red]\("$"#,##0\)</c:formatCode>
                <c:ptCount val="704"/>
                <c:pt idx="0">
                  <c:v>-225</c:v>
                </c:pt>
                <c:pt idx="1">
                  <c:v>-450</c:v>
                </c:pt>
                <c:pt idx="2">
                  <c:v>-675</c:v>
                </c:pt>
                <c:pt idx="3">
                  <c:v>-900</c:v>
                </c:pt>
                <c:pt idx="4">
                  <c:v>-1125</c:v>
                </c:pt>
                <c:pt idx="5">
                  <c:v>-1350</c:v>
                </c:pt>
                <c:pt idx="6">
                  <c:v>-1650</c:v>
                </c:pt>
                <c:pt idx="7">
                  <c:v>-1950</c:v>
                </c:pt>
                <c:pt idx="8">
                  <c:v>-2250</c:v>
                </c:pt>
                <c:pt idx="9">
                  <c:v>-2550</c:v>
                </c:pt>
                <c:pt idx="10">
                  <c:v>-2850</c:v>
                </c:pt>
                <c:pt idx="11">
                  <c:v>-3150</c:v>
                </c:pt>
                <c:pt idx="12">
                  <c:v>-3450</c:v>
                </c:pt>
                <c:pt idx="13">
                  <c:v>-3750</c:v>
                </c:pt>
                <c:pt idx="14">
                  <c:v>-4050</c:v>
                </c:pt>
                <c:pt idx="15">
                  <c:v>-4350</c:v>
                </c:pt>
                <c:pt idx="16">
                  <c:v>-4650</c:v>
                </c:pt>
                <c:pt idx="17">
                  <c:v>-4950</c:v>
                </c:pt>
                <c:pt idx="18">
                  <c:v>-5250</c:v>
                </c:pt>
                <c:pt idx="19">
                  <c:v>-5550</c:v>
                </c:pt>
                <c:pt idx="20">
                  <c:v>-5850</c:v>
                </c:pt>
                <c:pt idx="21">
                  <c:v>-6150</c:v>
                </c:pt>
                <c:pt idx="22">
                  <c:v>-6450</c:v>
                </c:pt>
                <c:pt idx="23">
                  <c:v>-6750</c:v>
                </c:pt>
                <c:pt idx="24">
                  <c:v>-7050</c:v>
                </c:pt>
                <c:pt idx="25">
                  <c:v>-7350</c:v>
                </c:pt>
                <c:pt idx="26">
                  <c:v>-7650</c:v>
                </c:pt>
                <c:pt idx="27">
                  <c:v>-7919</c:v>
                </c:pt>
                <c:pt idx="28">
                  <c:v>-7994</c:v>
                </c:pt>
                <c:pt idx="29">
                  <c:v>-8069</c:v>
                </c:pt>
                <c:pt idx="30">
                  <c:v>-8144</c:v>
                </c:pt>
                <c:pt idx="31">
                  <c:v>-8219</c:v>
                </c:pt>
                <c:pt idx="32">
                  <c:v>-8294</c:v>
                </c:pt>
                <c:pt idx="33">
                  <c:v>-8369</c:v>
                </c:pt>
                <c:pt idx="34">
                  <c:v>-8444</c:v>
                </c:pt>
                <c:pt idx="35">
                  <c:v>-8519</c:v>
                </c:pt>
                <c:pt idx="36">
                  <c:v>-8594</c:v>
                </c:pt>
                <c:pt idx="37">
                  <c:v>-8669</c:v>
                </c:pt>
                <c:pt idx="38">
                  <c:v>-8744</c:v>
                </c:pt>
                <c:pt idx="39">
                  <c:v>-8819</c:v>
                </c:pt>
                <c:pt idx="40">
                  <c:v>-8894</c:v>
                </c:pt>
                <c:pt idx="41">
                  <c:v>-8969</c:v>
                </c:pt>
                <c:pt idx="42">
                  <c:v>-9044</c:v>
                </c:pt>
                <c:pt idx="43">
                  <c:v>-9119</c:v>
                </c:pt>
                <c:pt idx="44">
                  <c:v>-9194</c:v>
                </c:pt>
                <c:pt idx="45">
                  <c:v>-9269</c:v>
                </c:pt>
                <c:pt idx="46">
                  <c:v>-9344</c:v>
                </c:pt>
                <c:pt idx="47">
                  <c:v>-9364.2446169620634</c:v>
                </c:pt>
                <c:pt idx="48">
                  <c:v>-9333.9458034275667</c:v>
                </c:pt>
                <c:pt idx="49">
                  <c:v>-9303.6469898930718</c:v>
                </c:pt>
                <c:pt idx="50">
                  <c:v>-9273.3481763585769</c:v>
                </c:pt>
                <c:pt idx="51">
                  <c:v>-9243.0493628240802</c:v>
                </c:pt>
                <c:pt idx="52">
                  <c:v>-9212.7505492895853</c:v>
                </c:pt>
                <c:pt idx="53">
                  <c:v>-9182.4517357550903</c:v>
                </c:pt>
                <c:pt idx="54">
                  <c:v>-9152.1529222205936</c:v>
                </c:pt>
                <c:pt idx="55">
                  <c:v>-9121.8541086861005</c:v>
                </c:pt>
                <c:pt idx="56">
                  <c:v>-9091.5552951516038</c:v>
                </c:pt>
                <c:pt idx="57">
                  <c:v>-9061.2564816171089</c:v>
                </c:pt>
                <c:pt idx="58">
                  <c:v>-9030.957668082614</c:v>
                </c:pt>
                <c:pt idx="59">
                  <c:v>-9000.6588545481172</c:v>
                </c:pt>
                <c:pt idx="60">
                  <c:v>-8970.3600410136223</c:v>
                </c:pt>
                <c:pt idx="61">
                  <c:v>-8940.0612274791274</c:v>
                </c:pt>
                <c:pt idx="62">
                  <c:v>-8909.7624139446307</c:v>
                </c:pt>
                <c:pt idx="63">
                  <c:v>-8879.4636004101358</c:v>
                </c:pt>
                <c:pt idx="64">
                  <c:v>-8849.1647868756409</c:v>
                </c:pt>
                <c:pt idx="65">
                  <c:v>-8818.8659733411441</c:v>
                </c:pt>
                <c:pt idx="66">
                  <c:v>-8788.5671598066492</c:v>
                </c:pt>
                <c:pt idx="67">
                  <c:v>-8758.2683462721543</c:v>
                </c:pt>
                <c:pt idx="68">
                  <c:v>-8727.9695327376594</c:v>
                </c:pt>
                <c:pt idx="69">
                  <c:v>-8697.6707192031645</c:v>
                </c:pt>
                <c:pt idx="70">
                  <c:v>-8667.3719056686678</c:v>
                </c:pt>
                <c:pt idx="71">
                  <c:v>-8637.0730921341728</c:v>
                </c:pt>
                <c:pt idx="72">
                  <c:v>-8581.7742785996779</c:v>
                </c:pt>
                <c:pt idx="73">
                  <c:v>-8476.4754650651812</c:v>
                </c:pt>
                <c:pt idx="74">
                  <c:v>-8371.1766515306863</c:v>
                </c:pt>
                <c:pt idx="75">
                  <c:v>-8265.8778379961914</c:v>
                </c:pt>
                <c:pt idx="76">
                  <c:v>-8160.5790244616965</c:v>
                </c:pt>
                <c:pt idx="77">
                  <c:v>-8055.2802109272006</c:v>
                </c:pt>
                <c:pt idx="78">
                  <c:v>-7949.9813973927048</c:v>
                </c:pt>
                <c:pt idx="79">
                  <c:v>-7844.6825838582099</c:v>
                </c:pt>
                <c:pt idx="80">
                  <c:v>-7739.3837703237141</c:v>
                </c:pt>
                <c:pt idx="81">
                  <c:v>-7629.0849567892183</c:v>
                </c:pt>
                <c:pt idx="82">
                  <c:v>-7473.7861432547234</c:v>
                </c:pt>
                <c:pt idx="83">
                  <c:v>-7318.4873297202284</c:v>
                </c:pt>
                <c:pt idx="84">
                  <c:v>-7163.1885161857326</c:v>
                </c:pt>
                <c:pt idx="85">
                  <c:v>-7007.8897026512368</c:v>
                </c:pt>
                <c:pt idx="86">
                  <c:v>-6852.5908891167419</c:v>
                </c:pt>
                <c:pt idx="87">
                  <c:v>-6697.2920755822461</c:v>
                </c:pt>
                <c:pt idx="88">
                  <c:v>-6541.9932620477512</c:v>
                </c:pt>
                <c:pt idx="89">
                  <c:v>-6386.6944485132553</c:v>
                </c:pt>
                <c:pt idx="90">
                  <c:v>-6231.3956349787604</c:v>
                </c:pt>
                <c:pt idx="91">
                  <c:v>-6076.0968214442646</c:v>
                </c:pt>
                <c:pt idx="92">
                  <c:v>-5920.7980079097697</c:v>
                </c:pt>
                <c:pt idx="93">
                  <c:v>-5765.4991943752739</c:v>
                </c:pt>
                <c:pt idx="94">
                  <c:v>-5610.200380840779</c:v>
                </c:pt>
                <c:pt idx="95">
                  <c:v>-5454.9015673062831</c:v>
                </c:pt>
                <c:pt idx="96">
                  <c:v>-5299.6027537717882</c:v>
                </c:pt>
                <c:pt idx="97">
                  <c:v>-5144.3039402372924</c:v>
                </c:pt>
                <c:pt idx="98">
                  <c:v>-4989.0051267027975</c:v>
                </c:pt>
                <c:pt idx="99">
                  <c:v>-4833.7063131683017</c:v>
                </c:pt>
                <c:pt idx="100">
                  <c:v>-4678.4074996338068</c:v>
                </c:pt>
                <c:pt idx="101">
                  <c:v>-4523.1086860993109</c:v>
                </c:pt>
                <c:pt idx="102">
                  <c:v>-4367.8098725648151</c:v>
                </c:pt>
                <c:pt idx="103">
                  <c:v>-4212.5110590303202</c:v>
                </c:pt>
                <c:pt idx="104">
                  <c:v>-4057.2122454958244</c:v>
                </c:pt>
                <c:pt idx="105">
                  <c:v>-3901.9134319613295</c:v>
                </c:pt>
                <c:pt idx="106">
                  <c:v>-3746.6146184268337</c:v>
                </c:pt>
                <c:pt idx="107">
                  <c:v>-3695</c:v>
                </c:pt>
                <c:pt idx="108">
                  <c:v>-3645</c:v>
                </c:pt>
                <c:pt idx="109">
                  <c:v>-3595</c:v>
                </c:pt>
                <c:pt idx="110">
                  <c:v>-3545</c:v>
                </c:pt>
                <c:pt idx="111">
                  <c:v>-3495</c:v>
                </c:pt>
                <c:pt idx="112">
                  <c:v>-3445</c:v>
                </c:pt>
                <c:pt idx="113">
                  <c:v>-3395</c:v>
                </c:pt>
                <c:pt idx="114">
                  <c:v>-3345</c:v>
                </c:pt>
                <c:pt idx="115">
                  <c:v>-3295</c:v>
                </c:pt>
                <c:pt idx="116">
                  <c:v>-3245</c:v>
                </c:pt>
                <c:pt idx="117">
                  <c:v>-3195</c:v>
                </c:pt>
                <c:pt idx="118">
                  <c:v>-3145</c:v>
                </c:pt>
                <c:pt idx="119">
                  <c:v>-3070</c:v>
                </c:pt>
                <c:pt idx="120">
                  <c:v>-2995</c:v>
                </c:pt>
                <c:pt idx="121">
                  <c:v>-2920</c:v>
                </c:pt>
                <c:pt idx="122">
                  <c:v>-2845</c:v>
                </c:pt>
                <c:pt idx="123">
                  <c:v>-2770</c:v>
                </c:pt>
                <c:pt idx="124">
                  <c:v>-2695</c:v>
                </c:pt>
                <c:pt idx="125">
                  <c:v>-2620</c:v>
                </c:pt>
                <c:pt idx="126">
                  <c:v>-2545</c:v>
                </c:pt>
                <c:pt idx="127">
                  <c:v>-2470</c:v>
                </c:pt>
                <c:pt idx="128">
                  <c:v>-2395</c:v>
                </c:pt>
                <c:pt idx="129">
                  <c:v>-2320</c:v>
                </c:pt>
                <c:pt idx="130">
                  <c:v>-2245</c:v>
                </c:pt>
                <c:pt idx="131">
                  <c:v>-2170</c:v>
                </c:pt>
                <c:pt idx="132">
                  <c:v>-2095</c:v>
                </c:pt>
                <c:pt idx="133">
                  <c:v>-2020</c:v>
                </c:pt>
                <c:pt idx="134">
                  <c:v>-1945</c:v>
                </c:pt>
                <c:pt idx="135">
                  <c:v>-1870</c:v>
                </c:pt>
                <c:pt idx="136">
                  <c:v>-1795</c:v>
                </c:pt>
                <c:pt idx="137">
                  <c:v>-1720</c:v>
                </c:pt>
                <c:pt idx="138">
                  <c:v>-1645</c:v>
                </c:pt>
                <c:pt idx="139">
                  <c:v>-1570</c:v>
                </c:pt>
                <c:pt idx="140">
                  <c:v>-1495</c:v>
                </c:pt>
                <c:pt idx="141">
                  <c:v>-1420</c:v>
                </c:pt>
                <c:pt idx="142">
                  <c:v>-1345</c:v>
                </c:pt>
                <c:pt idx="143">
                  <c:v>-1270</c:v>
                </c:pt>
                <c:pt idx="144">
                  <c:v>-1195</c:v>
                </c:pt>
                <c:pt idx="145">
                  <c:v>-1120</c:v>
                </c:pt>
                <c:pt idx="146">
                  <c:v>-1045</c:v>
                </c:pt>
                <c:pt idx="147">
                  <c:v>-970</c:v>
                </c:pt>
                <c:pt idx="148">
                  <c:v>-895</c:v>
                </c:pt>
                <c:pt idx="149">
                  <c:v>-820</c:v>
                </c:pt>
                <c:pt idx="150">
                  <c:v>-745</c:v>
                </c:pt>
                <c:pt idx="151">
                  <c:v>-670</c:v>
                </c:pt>
                <c:pt idx="152">
                  <c:v>-595</c:v>
                </c:pt>
                <c:pt idx="153">
                  <c:v>-520</c:v>
                </c:pt>
                <c:pt idx="154">
                  <c:v>-445</c:v>
                </c:pt>
                <c:pt idx="155">
                  <c:v>-370</c:v>
                </c:pt>
                <c:pt idx="156">
                  <c:v>-295</c:v>
                </c:pt>
                <c:pt idx="157">
                  <c:v>-220</c:v>
                </c:pt>
                <c:pt idx="158">
                  <c:v>-145</c:v>
                </c:pt>
                <c:pt idx="159">
                  <c:v>-70</c:v>
                </c:pt>
                <c:pt idx="160">
                  <c:v>5</c:v>
                </c:pt>
                <c:pt idx="161">
                  <c:v>80</c:v>
                </c:pt>
                <c:pt idx="162">
                  <c:v>155</c:v>
                </c:pt>
                <c:pt idx="163">
                  <c:v>230</c:v>
                </c:pt>
                <c:pt idx="164">
                  <c:v>305</c:v>
                </c:pt>
                <c:pt idx="165">
                  <c:v>380</c:v>
                </c:pt>
                <c:pt idx="166">
                  <c:v>455</c:v>
                </c:pt>
                <c:pt idx="167">
                  <c:v>530</c:v>
                </c:pt>
                <c:pt idx="168">
                  <c:v>605</c:v>
                </c:pt>
                <c:pt idx="169">
                  <c:v>680</c:v>
                </c:pt>
                <c:pt idx="170">
                  <c:v>755</c:v>
                </c:pt>
                <c:pt idx="171">
                  <c:v>830</c:v>
                </c:pt>
                <c:pt idx="172">
                  <c:v>905</c:v>
                </c:pt>
                <c:pt idx="173">
                  <c:v>980</c:v>
                </c:pt>
                <c:pt idx="174">
                  <c:v>1055</c:v>
                </c:pt>
                <c:pt idx="175">
                  <c:v>1130</c:v>
                </c:pt>
                <c:pt idx="176">
                  <c:v>1205</c:v>
                </c:pt>
                <c:pt idx="177">
                  <c:v>1280</c:v>
                </c:pt>
                <c:pt idx="178">
                  <c:v>1355</c:v>
                </c:pt>
                <c:pt idx="179">
                  <c:v>1430</c:v>
                </c:pt>
                <c:pt idx="180">
                  <c:v>1505</c:v>
                </c:pt>
                <c:pt idx="181">
                  <c:v>1580</c:v>
                </c:pt>
                <c:pt idx="182">
                  <c:v>1655</c:v>
                </c:pt>
                <c:pt idx="183">
                  <c:v>1730</c:v>
                </c:pt>
                <c:pt idx="184">
                  <c:v>1805</c:v>
                </c:pt>
                <c:pt idx="185">
                  <c:v>1880</c:v>
                </c:pt>
                <c:pt idx="186">
                  <c:v>1955</c:v>
                </c:pt>
                <c:pt idx="187">
                  <c:v>2030</c:v>
                </c:pt>
                <c:pt idx="188">
                  <c:v>2105</c:v>
                </c:pt>
                <c:pt idx="189">
                  <c:v>2180</c:v>
                </c:pt>
                <c:pt idx="190">
                  <c:v>2255</c:v>
                </c:pt>
                <c:pt idx="191">
                  <c:v>2330</c:v>
                </c:pt>
                <c:pt idx="192">
                  <c:v>2405</c:v>
                </c:pt>
                <c:pt idx="193">
                  <c:v>2480</c:v>
                </c:pt>
                <c:pt idx="194">
                  <c:v>2555</c:v>
                </c:pt>
                <c:pt idx="195">
                  <c:v>2630</c:v>
                </c:pt>
                <c:pt idx="196">
                  <c:v>2705</c:v>
                </c:pt>
                <c:pt idx="197">
                  <c:v>2780</c:v>
                </c:pt>
                <c:pt idx="198">
                  <c:v>2855</c:v>
                </c:pt>
                <c:pt idx="199">
                  <c:v>2930</c:v>
                </c:pt>
                <c:pt idx="200">
                  <c:v>3005</c:v>
                </c:pt>
                <c:pt idx="201">
                  <c:v>3080</c:v>
                </c:pt>
                <c:pt idx="202">
                  <c:v>3155</c:v>
                </c:pt>
                <c:pt idx="203">
                  <c:v>3230</c:v>
                </c:pt>
                <c:pt idx="204">
                  <c:v>3305</c:v>
                </c:pt>
                <c:pt idx="205">
                  <c:v>3380</c:v>
                </c:pt>
                <c:pt idx="206">
                  <c:v>3455</c:v>
                </c:pt>
                <c:pt idx="207">
                  <c:v>3530</c:v>
                </c:pt>
                <c:pt idx="208">
                  <c:v>3605</c:v>
                </c:pt>
                <c:pt idx="209">
                  <c:v>3680</c:v>
                </c:pt>
                <c:pt idx="210">
                  <c:v>3755</c:v>
                </c:pt>
                <c:pt idx="211">
                  <c:v>3830</c:v>
                </c:pt>
                <c:pt idx="212">
                  <c:v>3905</c:v>
                </c:pt>
                <c:pt idx="213">
                  <c:v>3980</c:v>
                </c:pt>
                <c:pt idx="214">
                  <c:v>4055</c:v>
                </c:pt>
                <c:pt idx="215">
                  <c:v>4130</c:v>
                </c:pt>
                <c:pt idx="216">
                  <c:v>4205</c:v>
                </c:pt>
                <c:pt idx="217">
                  <c:v>4280</c:v>
                </c:pt>
                <c:pt idx="218">
                  <c:v>4355</c:v>
                </c:pt>
                <c:pt idx="219">
                  <c:v>4430</c:v>
                </c:pt>
                <c:pt idx="220">
                  <c:v>4530</c:v>
                </c:pt>
                <c:pt idx="221">
                  <c:v>4630</c:v>
                </c:pt>
                <c:pt idx="222">
                  <c:v>4730</c:v>
                </c:pt>
                <c:pt idx="223">
                  <c:v>4830</c:v>
                </c:pt>
                <c:pt idx="224">
                  <c:v>4930</c:v>
                </c:pt>
                <c:pt idx="225">
                  <c:v>5030</c:v>
                </c:pt>
                <c:pt idx="226">
                  <c:v>5130</c:v>
                </c:pt>
                <c:pt idx="227">
                  <c:v>5230</c:v>
                </c:pt>
                <c:pt idx="228">
                  <c:v>5330</c:v>
                </c:pt>
                <c:pt idx="229">
                  <c:v>5430</c:v>
                </c:pt>
                <c:pt idx="230">
                  <c:v>5530</c:v>
                </c:pt>
                <c:pt idx="231">
                  <c:v>5630</c:v>
                </c:pt>
                <c:pt idx="232">
                  <c:v>5755</c:v>
                </c:pt>
                <c:pt idx="233">
                  <c:v>5905</c:v>
                </c:pt>
                <c:pt idx="234">
                  <c:v>6055</c:v>
                </c:pt>
                <c:pt idx="235">
                  <c:v>6205</c:v>
                </c:pt>
                <c:pt idx="236">
                  <c:v>6355</c:v>
                </c:pt>
                <c:pt idx="237">
                  <c:v>6505</c:v>
                </c:pt>
                <c:pt idx="238">
                  <c:v>6655</c:v>
                </c:pt>
                <c:pt idx="239">
                  <c:v>6805</c:v>
                </c:pt>
                <c:pt idx="240">
                  <c:v>6955</c:v>
                </c:pt>
                <c:pt idx="241">
                  <c:v>7105</c:v>
                </c:pt>
                <c:pt idx="242">
                  <c:v>7255</c:v>
                </c:pt>
                <c:pt idx="243">
                  <c:v>7405</c:v>
                </c:pt>
                <c:pt idx="244">
                  <c:v>7555</c:v>
                </c:pt>
                <c:pt idx="245">
                  <c:v>7705</c:v>
                </c:pt>
                <c:pt idx="246">
                  <c:v>7855</c:v>
                </c:pt>
                <c:pt idx="247">
                  <c:v>8005</c:v>
                </c:pt>
                <c:pt idx="248">
                  <c:v>8155</c:v>
                </c:pt>
                <c:pt idx="249">
                  <c:v>8305</c:v>
                </c:pt>
                <c:pt idx="250">
                  <c:v>8455</c:v>
                </c:pt>
                <c:pt idx="251">
                  <c:v>8605</c:v>
                </c:pt>
                <c:pt idx="252">
                  <c:v>8755</c:v>
                </c:pt>
                <c:pt idx="253">
                  <c:v>8905</c:v>
                </c:pt>
                <c:pt idx="254">
                  <c:v>9055</c:v>
                </c:pt>
                <c:pt idx="255">
                  <c:v>9205</c:v>
                </c:pt>
                <c:pt idx="256">
                  <c:v>9355</c:v>
                </c:pt>
                <c:pt idx="257">
                  <c:v>9505</c:v>
                </c:pt>
                <c:pt idx="258">
                  <c:v>9655</c:v>
                </c:pt>
                <c:pt idx="259">
                  <c:v>9805</c:v>
                </c:pt>
                <c:pt idx="260">
                  <c:v>9955</c:v>
                </c:pt>
                <c:pt idx="261">
                  <c:v>10105</c:v>
                </c:pt>
                <c:pt idx="262">
                  <c:v>10255</c:v>
                </c:pt>
                <c:pt idx="263">
                  <c:v>10405</c:v>
                </c:pt>
                <c:pt idx="264">
                  <c:v>10555</c:v>
                </c:pt>
                <c:pt idx="265">
                  <c:v>10705</c:v>
                </c:pt>
                <c:pt idx="266">
                  <c:v>10855</c:v>
                </c:pt>
                <c:pt idx="267">
                  <c:v>11005</c:v>
                </c:pt>
                <c:pt idx="268">
                  <c:v>11155</c:v>
                </c:pt>
                <c:pt idx="269">
                  <c:v>11305</c:v>
                </c:pt>
                <c:pt idx="270">
                  <c:v>11455</c:v>
                </c:pt>
                <c:pt idx="271">
                  <c:v>11605</c:v>
                </c:pt>
                <c:pt idx="272">
                  <c:v>11755</c:v>
                </c:pt>
                <c:pt idx="273">
                  <c:v>11905</c:v>
                </c:pt>
                <c:pt idx="274">
                  <c:v>12055</c:v>
                </c:pt>
                <c:pt idx="275">
                  <c:v>12205</c:v>
                </c:pt>
                <c:pt idx="276">
                  <c:v>12355</c:v>
                </c:pt>
                <c:pt idx="277">
                  <c:v>12505</c:v>
                </c:pt>
                <c:pt idx="278">
                  <c:v>12655</c:v>
                </c:pt>
                <c:pt idx="279">
                  <c:v>12805</c:v>
                </c:pt>
                <c:pt idx="280">
                  <c:v>12955</c:v>
                </c:pt>
                <c:pt idx="281">
                  <c:v>13105</c:v>
                </c:pt>
                <c:pt idx="282">
                  <c:v>13255</c:v>
                </c:pt>
                <c:pt idx="283">
                  <c:v>13405</c:v>
                </c:pt>
                <c:pt idx="284">
                  <c:v>13555</c:v>
                </c:pt>
                <c:pt idx="285">
                  <c:v>13705</c:v>
                </c:pt>
                <c:pt idx="286">
                  <c:v>13855</c:v>
                </c:pt>
                <c:pt idx="287">
                  <c:v>14005</c:v>
                </c:pt>
                <c:pt idx="288">
                  <c:v>14155</c:v>
                </c:pt>
                <c:pt idx="289">
                  <c:v>14305</c:v>
                </c:pt>
                <c:pt idx="290">
                  <c:v>14455</c:v>
                </c:pt>
                <c:pt idx="291">
                  <c:v>14605</c:v>
                </c:pt>
                <c:pt idx="292">
                  <c:v>14755</c:v>
                </c:pt>
                <c:pt idx="293">
                  <c:v>14905</c:v>
                </c:pt>
                <c:pt idx="294">
                  <c:v>15055</c:v>
                </c:pt>
                <c:pt idx="295">
                  <c:v>15205</c:v>
                </c:pt>
                <c:pt idx="296">
                  <c:v>15355</c:v>
                </c:pt>
                <c:pt idx="297">
                  <c:v>15505</c:v>
                </c:pt>
                <c:pt idx="298">
                  <c:v>15655</c:v>
                </c:pt>
                <c:pt idx="299">
                  <c:v>15805</c:v>
                </c:pt>
                <c:pt idx="300">
                  <c:v>15955</c:v>
                </c:pt>
                <c:pt idx="301">
                  <c:v>16105</c:v>
                </c:pt>
                <c:pt idx="302">
                  <c:v>16255</c:v>
                </c:pt>
                <c:pt idx="303">
                  <c:v>16405</c:v>
                </c:pt>
                <c:pt idx="304">
                  <c:v>16555</c:v>
                </c:pt>
                <c:pt idx="305">
                  <c:v>16705</c:v>
                </c:pt>
                <c:pt idx="306">
                  <c:v>16855</c:v>
                </c:pt>
                <c:pt idx="307">
                  <c:v>17005</c:v>
                </c:pt>
                <c:pt idx="308">
                  <c:v>17155</c:v>
                </c:pt>
                <c:pt idx="309">
                  <c:v>17305</c:v>
                </c:pt>
                <c:pt idx="310">
                  <c:v>17455</c:v>
                </c:pt>
                <c:pt idx="311">
                  <c:v>17605</c:v>
                </c:pt>
                <c:pt idx="312">
                  <c:v>17755</c:v>
                </c:pt>
                <c:pt idx="313">
                  <c:v>17905</c:v>
                </c:pt>
                <c:pt idx="314">
                  <c:v>18055</c:v>
                </c:pt>
                <c:pt idx="315">
                  <c:v>18205</c:v>
                </c:pt>
                <c:pt idx="316">
                  <c:v>18355</c:v>
                </c:pt>
                <c:pt idx="317">
                  <c:v>18505</c:v>
                </c:pt>
                <c:pt idx="318">
                  <c:v>18655</c:v>
                </c:pt>
                <c:pt idx="319">
                  <c:v>18805</c:v>
                </c:pt>
                <c:pt idx="320">
                  <c:v>18955</c:v>
                </c:pt>
                <c:pt idx="321">
                  <c:v>19105</c:v>
                </c:pt>
                <c:pt idx="322">
                  <c:v>19255</c:v>
                </c:pt>
                <c:pt idx="323">
                  <c:v>19405</c:v>
                </c:pt>
                <c:pt idx="324">
                  <c:v>19555</c:v>
                </c:pt>
                <c:pt idx="325">
                  <c:v>19705</c:v>
                </c:pt>
                <c:pt idx="326">
                  <c:v>19855</c:v>
                </c:pt>
                <c:pt idx="327">
                  <c:v>20005</c:v>
                </c:pt>
                <c:pt idx="328">
                  <c:v>20155</c:v>
                </c:pt>
                <c:pt idx="329">
                  <c:v>20305</c:v>
                </c:pt>
                <c:pt idx="330">
                  <c:v>20455</c:v>
                </c:pt>
                <c:pt idx="331">
                  <c:v>20605</c:v>
                </c:pt>
                <c:pt idx="332">
                  <c:v>20755</c:v>
                </c:pt>
                <c:pt idx="333">
                  <c:v>20905</c:v>
                </c:pt>
                <c:pt idx="334">
                  <c:v>21055</c:v>
                </c:pt>
                <c:pt idx="335">
                  <c:v>21205</c:v>
                </c:pt>
                <c:pt idx="336">
                  <c:v>21355</c:v>
                </c:pt>
                <c:pt idx="337">
                  <c:v>21505</c:v>
                </c:pt>
                <c:pt idx="338">
                  <c:v>21655</c:v>
                </c:pt>
                <c:pt idx="339">
                  <c:v>21805</c:v>
                </c:pt>
                <c:pt idx="340">
                  <c:v>21955</c:v>
                </c:pt>
                <c:pt idx="341">
                  <c:v>22105</c:v>
                </c:pt>
                <c:pt idx="342">
                  <c:v>22255</c:v>
                </c:pt>
                <c:pt idx="343">
                  <c:v>22405</c:v>
                </c:pt>
                <c:pt idx="344">
                  <c:v>22555</c:v>
                </c:pt>
                <c:pt idx="345">
                  <c:v>22705</c:v>
                </c:pt>
                <c:pt idx="346">
                  <c:v>22855</c:v>
                </c:pt>
                <c:pt idx="347">
                  <c:v>23005</c:v>
                </c:pt>
                <c:pt idx="348">
                  <c:v>23155</c:v>
                </c:pt>
                <c:pt idx="349">
                  <c:v>23305</c:v>
                </c:pt>
                <c:pt idx="350">
                  <c:v>23455</c:v>
                </c:pt>
                <c:pt idx="351">
                  <c:v>23605</c:v>
                </c:pt>
                <c:pt idx="352">
                  <c:v>23755</c:v>
                </c:pt>
                <c:pt idx="353">
                  <c:v>23905</c:v>
                </c:pt>
                <c:pt idx="354">
                  <c:v>24055</c:v>
                </c:pt>
                <c:pt idx="355">
                  <c:v>24205</c:v>
                </c:pt>
                <c:pt idx="356">
                  <c:v>24355</c:v>
                </c:pt>
                <c:pt idx="357">
                  <c:v>24505</c:v>
                </c:pt>
                <c:pt idx="358">
                  <c:v>24655</c:v>
                </c:pt>
                <c:pt idx="359">
                  <c:v>24831.5</c:v>
                </c:pt>
                <c:pt idx="360">
                  <c:v>25019</c:v>
                </c:pt>
                <c:pt idx="361">
                  <c:v>25206.5</c:v>
                </c:pt>
                <c:pt idx="362">
                  <c:v>25394</c:v>
                </c:pt>
                <c:pt idx="363">
                  <c:v>25581.5</c:v>
                </c:pt>
                <c:pt idx="364">
                  <c:v>25769</c:v>
                </c:pt>
                <c:pt idx="365">
                  <c:v>25956.5</c:v>
                </c:pt>
                <c:pt idx="366">
                  <c:v>26144</c:v>
                </c:pt>
                <c:pt idx="367">
                  <c:v>26331.5</c:v>
                </c:pt>
                <c:pt idx="368">
                  <c:v>26519</c:v>
                </c:pt>
                <c:pt idx="369">
                  <c:v>26706.5</c:v>
                </c:pt>
                <c:pt idx="370">
                  <c:v>26894</c:v>
                </c:pt>
                <c:pt idx="371">
                  <c:v>27081.5</c:v>
                </c:pt>
                <c:pt idx="372">
                  <c:v>27269</c:v>
                </c:pt>
                <c:pt idx="373">
                  <c:v>27456.5</c:v>
                </c:pt>
                <c:pt idx="374">
                  <c:v>27644</c:v>
                </c:pt>
                <c:pt idx="375">
                  <c:v>27831.5</c:v>
                </c:pt>
                <c:pt idx="376">
                  <c:v>28019</c:v>
                </c:pt>
                <c:pt idx="377">
                  <c:v>28206.5</c:v>
                </c:pt>
                <c:pt idx="378">
                  <c:v>28394</c:v>
                </c:pt>
                <c:pt idx="379">
                  <c:v>28581.5</c:v>
                </c:pt>
                <c:pt idx="380">
                  <c:v>28769</c:v>
                </c:pt>
                <c:pt idx="381">
                  <c:v>28956.5</c:v>
                </c:pt>
                <c:pt idx="382">
                  <c:v>29144</c:v>
                </c:pt>
                <c:pt idx="383">
                  <c:v>29331.5</c:v>
                </c:pt>
                <c:pt idx="384">
                  <c:v>29519</c:v>
                </c:pt>
                <c:pt idx="385">
                  <c:v>29706.5</c:v>
                </c:pt>
                <c:pt idx="386">
                  <c:v>29894</c:v>
                </c:pt>
                <c:pt idx="387">
                  <c:v>30081.5</c:v>
                </c:pt>
                <c:pt idx="388">
                  <c:v>30269</c:v>
                </c:pt>
                <c:pt idx="389">
                  <c:v>30456.5</c:v>
                </c:pt>
                <c:pt idx="390">
                  <c:v>30644</c:v>
                </c:pt>
                <c:pt idx="391">
                  <c:v>30831.5</c:v>
                </c:pt>
                <c:pt idx="392">
                  <c:v>31019</c:v>
                </c:pt>
                <c:pt idx="393">
                  <c:v>31206.5</c:v>
                </c:pt>
                <c:pt idx="394">
                  <c:v>31394</c:v>
                </c:pt>
                <c:pt idx="395">
                  <c:v>31581.5</c:v>
                </c:pt>
                <c:pt idx="396">
                  <c:v>31769</c:v>
                </c:pt>
                <c:pt idx="397">
                  <c:v>31956.5</c:v>
                </c:pt>
                <c:pt idx="398">
                  <c:v>32144</c:v>
                </c:pt>
                <c:pt idx="399">
                  <c:v>32331.5</c:v>
                </c:pt>
                <c:pt idx="400">
                  <c:v>32519</c:v>
                </c:pt>
                <c:pt idx="401">
                  <c:v>32706.5</c:v>
                </c:pt>
                <c:pt idx="402">
                  <c:v>32894</c:v>
                </c:pt>
                <c:pt idx="403">
                  <c:v>33081.5</c:v>
                </c:pt>
                <c:pt idx="404">
                  <c:v>33269</c:v>
                </c:pt>
                <c:pt idx="405">
                  <c:v>33456.5</c:v>
                </c:pt>
                <c:pt idx="406">
                  <c:v>33644</c:v>
                </c:pt>
                <c:pt idx="407">
                  <c:v>33831.5</c:v>
                </c:pt>
                <c:pt idx="408">
                  <c:v>34019</c:v>
                </c:pt>
                <c:pt idx="409">
                  <c:v>34206.5</c:v>
                </c:pt>
                <c:pt idx="410">
                  <c:v>34394</c:v>
                </c:pt>
                <c:pt idx="411">
                  <c:v>34581.5</c:v>
                </c:pt>
                <c:pt idx="412">
                  <c:v>34769</c:v>
                </c:pt>
                <c:pt idx="413">
                  <c:v>34956.5</c:v>
                </c:pt>
                <c:pt idx="414">
                  <c:v>35144</c:v>
                </c:pt>
                <c:pt idx="415">
                  <c:v>35331.5</c:v>
                </c:pt>
                <c:pt idx="416">
                  <c:v>35519</c:v>
                </c:pt>
                <c:pt idx="417">
                  <c:v>35706.5</c:v>
                </c:pt>
                <c:pt idx="418">
                  <c:v>35894</c:v>
                </c:pt>
                <c:pt idx="419">
                  <c:v>36081.5</c:v>
                </c:pt>
                <c:pt idx="420">
                  <c:v>36244</c:v>
                </c:pt>
                <c:pt idx="421">
                  <c:v>36406.5</c:v>
                </c:pt>
                <c:pt idx="422">
                  <c:v>36569</c:v>
                </c:pt>
                <c:pt idx="423">
                  <c:v>36731.5</c:v>
                </c:pt>
                <c:pt idx="424">
                  <c:v>36894</c:v>
                </c:pt>
                <c:pt idx="425">
                  <c:v>37056.5</c:v>
                </c:pt>
                <c:pt idx="426">
                  <c:v>37219</c:v>
                </c:pt>
                <c:pt idx="427">
                  <c:v>37381.5</c:v>
                </c:pt>
                <c:pt idx="428">
                  <c:v>37544</c:v>
                </c:pt>
                <c:pt idx="429">
                  <c:v>37706.5</c:v>
                </c:pt>
                <c:pt idx="430">
                  <c:v>37869</c:v>
                </c:pt>
                <c:pt idx="431">
                  <c:v>38031.5</c:v>
                </c:pt>
                <c:pt idx="432">
                  <c:v>38194</c:v>
                </c:pt>
                <c:pt idx="433">
                  <c:v>38356.5</c:v>
                </c:pt>
                <c:pt idx="434">
                  <c:v>38519</c:v>
                </c:pt>
                <c:pt idx="435">
                  <c:v>38681.5</c:v>
                </c:pt>
                <c:pt idx="436">
                  <c:v>38844</c:v>
                </c:pt>
                <c:pt idx="437">
                  <c:v>39006.5</c:v>
                </c:pt>
                <c:pt idx="438">
                  <c:v>39169</c:v>
                </c:pt>
                <c:pt idx="439">
                  <c:v>39331.5</c:v>
                </c:pt>
                <c:pt idx="440">
                  <c:v>39494</c:v>
                </c:pt>
                <c:pt idx="441">
                  <c:v>39656.5</c:v>
                </c:pt>
                <c:pt idx="442">
                  <c:v>39819</c:v>
                </c:pt>
                <c:pt idx="443">
                  <c:v>39981.5</c:v>
                </c:pt>
                <c:pt idx="444">
                  <c:v>40144</c:v>
                </c:pt>
                <c:pt idx="445">
                  <c:v>40306.5</c:v>
                </c:pt>
                <c:pt idx="446">
                  <c:v>40469</c:v>
                </c:pt>
                <c:pt idx="447">
                  <c:v>40631.5</c:v>
                </c:pt>
                <c:pt idx="448">
                  <c:v>40794</c:v>
                </c:pt>
                <c:pt idx="449">
                  <c:v>40956.5</c:v>
                </c:pt>
                <c:pt idx="450">
                  <c:v>41119</c:v>
                </c:pt>
                <c:pt idx="451">
                  <c:v>41281.5</c:v>
                </c:pt>
                <c:pt idx="452">
                  <c:v>41444</c:v>
                </c:pt>
                <c:pt idx="453">
                  <c:v>41606.5</c:v>
                </c:pt>
                <c:pt idx="454">
                  <c:v>41769</c:v>
                </c:pt>
                <c:pt idx="455">
                  <c:v>41931.5</c:v>
                </c:pt>
                <c:pt idx="456">
                  <c:v>42094</c:v>
                </c:pt>
                <c:pt idx="457">
                  <c:v>42256.5</c:v>
                </c:pt>
                <c:pt idx="458">
                  <c:v>42419</c:v>
                </c:pt>
                <c:pt idx="459">
                  <c:v>42581.5</c:v>
                </c:pt>
                <c:pt idx="460">
                  <c:v>42744</c:v>
                </c:pt>
                <c:pt idx="461">
                  <c:v>42906.5</c:v>
                </c:pt>
                <c:pt idx="462">
                  <c:v>43069</c:v>
                </c:pt>
                <c:pt idx="463">
                  <c:v>43231.5</c:v>
                </c:pt>
                <c:pt idx="464">
                  <c:v>43394</c:v>
                </c:pt>
                <c:pt idx="465">
                  <c:v>43556.5</c:v>
                </c:pt>
                <c:pt idx="466">
                  <c:v>43719</c:v>
                </c:pt>
                <c:pt idx="467">
                  <c:v>43881.5</c:v>
                </c:pt>
                <c:pt idx="468">
                  <c:v>44044</c:v>
                </c:pt>
                <c:pt idx="469">
                  <c:v>44206.5</c:v>
                </c:pt>
                <c:pt idx="470">
                  <c:v>44369</c:v>
                </c:pt>
                <c:pt idx="471">
                  <c:v>44531.5</c:v>
                </c:pt>
                <c:pt idx="472">
                  <c:v>44694</c:v>
                </c:pt>
                <c:pt idx="473">
                  <c:v>44856.5</c:v>
                </c:pt>
                <c:pt idx="474">
                  <c:v>45019</c:v>
                </c:pt>
                <c:pt idx="475">
                  <c:v>45181.5</c:v>
                </c:pt>
                <c:pt idx="476">
                  <c:v>45344</c:v>
                </c:pt>
                <c:pt idx="477">
                  <c:v>45506.5</c:v>
                </c:pt>
                <c:pt idx="478">
                  <c:v>45669</c:v>
                </c:pt>
                <c:pt idx="479">
                  <c:v>45831.5</c:v>
                </c:pt>
                <c:pt idx="480">
                  <c:v>45994</c:v>
                </c:pt>
                <c:pt idx="481">
                  <c:v>46156.5</c:v>
                </c:pt>
                <c:pt idx="482">
                  <c:v>46319</c:v>
                </c:pt>
                <c:pt idx="483">
                  <c:v>46481.5</c:v>
                </c:pt>
                <c:pt idx="484">
                  <c:v>46644</c:v>
                </c:pt>
                <c:pt idx="485">
                  <c:v>46806.5</c:v>
                </c:pt>
                <c:pt idx="486">
                  <c:v>46969</c:v>
                </c:pt>
                <c:pt idx="487">
                  <c:v>47131.5</c:v>
                </c:pt>
                <c:pt idx="488">
                  <c:v>47294</c:v>
                </c:pt>
                <c:pt idx="489">
                  <c:v>47456.5</c:v>
                </c:pt>
                <c:pt idx="490">
                  <c:v>47619</c:v>
                </c:pt>
                <c:pt idx="491">
                  <c:v>47781.5</c:v>
                </c:pt>
                <c:pt idx="492">
                  <c:v>47944</c:v>
                </c:pt>
                <c:pt idx="493">
                  <c:v>48106.5</c:v>
                </c:pt>
                <c:pt idx="494">
                  <c:v>48269</c:v>
                </c:pt>
                <c:pt idx="495">
                  <c:v>48431.5</c:v>
                </c:pt>
                <c:pt idx="496">
                  <c:v>48606</c:v>
                </c:pt>
                <c:pt idx="497">
                  <c:v>48781</c:v>
                </c:pt>
                <c:pt idx="498">
                  <c:v>48956</c:v>
                </c:pt>
                <c:pt idx="499">
                  <c:v>49131</c:v>
                </c:pt>
                <c:pt idx="500">
                  <c:v>49310.5</c:v>
                </c:pt>
                <c:pt idx="501">
                  <c:v>49490</c:v>
                </c:pt>
                <c:pt idx="502">
                  <c:v>49669.5</c:v>
                </c:pt>
                <c:pt idx="503">
                  <c:v>49849</c:v>
                </c:pt>
                <c:pt idx="504">
                  <c:v>50028.5</c:v>
                </c:pt>
                <c:pt idx="505">
                  <c:v>50208</c:v>
                </c:pt>
                <c:pt idx="506">
                  <c:v>50387.5</c:v>
                </c:pt>
                <c:pt idx="507">
                  <c:v>50567</c:v>
                </c:pt>
                <c:pt idx="508">
                  <c:v>50746.5</c:v>
                </c:pt>
                <c:pt idx="509">
                  <c:v>50926</c:v>
                </c:pt>
                <c:pt idx="510">
                  <c:v>51105.5</c:v>
                </c:pt>
                <c:pt idx="511">
                  <c:v>51285</c:v>
                </c:pt>
                <c:pt idx="512">
                  <c:v>51464.5</c:v>
                </c:pt>
                <c:pt idx="513">
                  <c:v>51644</c:v>
                </c:pt>
                <c:pt idx="514">
                  <c:v>51823.5</c:v>
                </c:pt>
                <c:pt idx="515">
                  <c:v>52003</c:v>
                </c:pt>
                <c:pt idx="516">
                  <c:v>52182.5</c:v>
                </c:pt>
                <c:pt idx="517">
                  <c:v>52362</c:v>
                </c:pt>
                <c:pt idx="518">
                  <c:v>52541.5</c:v>
                </c:pt>
                <c:pt idx="519">
                  <c:v>52721</c:v>
                </c:pt>
                <c:pt idx="520">
                  <c:v>52900.5</c:v>
                </c:pt>
                <c:pt idx="521">
                  <c:v>53080</c:v>
                </c:pt>
                <c:pt idx="522">
                  <c:v>53259.5</c:v>
                </c:pt>
                <c:pt idx="523">
                  <c:v>53439</c:v>
                </c:pt>
                <c:pt idx="524">
                  <c:v>53618.5</c:v>
                </c:pt>
                <c:pt idx="525">
                  <c:v>53798</c:v>
                </c:pt>
                <c:pt idx="526">
                  <c:v>53977.5</c:v>
                </c:pt>
                <c:pt idx="527">
                  <c:v>54157</c:v>
                </c:pt>
                <c:pt idx="528">
                  <c:v>54336.5</c:v>
                </c:pt>
                <c:pt idx="529">
                  <c:v>54516</c:v>
                </c:pt>
                <c:pt idx="530">
                  <c:v>54695.5</c:v>
                </c:pt>
                <c:pt idx="531">
                  <c:v>54875</c:v>
                </c:pt>
                <c:pt idx="532">
                  <c:v>55054.5</c:v>
                </c:pt>
                <c:pt idx="533">
                  <c:v>55234</c:v>
                </c:pt>
                <c:pt idx="534">
                  <c:v>55413.5</c:v>
                </c:pt>
                <c:pt idx="535">
                  <c:v>55593</c:v>
                </c:pt>
                <c:pt idx="536">
                  <c:v>55772.5</c:v>
                </c:pt>
                <c:pt idx="537">
                  <c:v>55952</c:v>
                </c:pt>
                <c:pt idx="538">
                  <c:v>56131.5</c:v>
                </c:pt>
                <c:pt idx="539">
                  <c:v>56311</c:v>
                </c:pt>
                <c:pt idx="540">
                  <c:v>56490.5</c:v>
                </c:pt>
                <c:pt idx="541">
                  <c:v>56670</c:v>
                </c:pt>
                <c:pt idx="542">
                  <c:v>56849.5</c:v>
                </c:pt>
                <c:pt idx="543">
                  <c:v>57029</c:v>
                </c:pt>
                <c:pt idx="544">
                  <c:v>57208.5</c:v>
                </c:pt>
                <c:pt idx="545">
                  <c:v>57388</c:v>
                </c:pt>
                <c:pt idx="546">
                  <c:v>57567.5</c:v>
                </c:pt>
                <c:pt idx="547">
                  <c:v>57747</c:v>
                </c:pt>
                <c:pt idx="548">
                  <c:v>57926.5</c:v>
                </c:pt>
                <c:pt idx="549">
                  <c:v>58106</c:v>
                </c:pt>
                <c:pt idx="550">
                  <c:v>58285.5</c:v>
                </c:pt>
                <c:pt idx="551">
                  <c:v>58465</c:v>
                </c:pt>
                <c:pt idx="552">
                  <c:v>58644.5</c:v>
                </c:pt>
                <c:pt idx="553">
                  <c:v>58824</c:v>
                </c:pt>
                <c:pt idx="554">
                  <c:v>59003.5</c:v>
                </c:pt>
                <c:pt idx="555">
                  <c:v>59183</c:v>
                </c:pt>
                <c:pt idx="556">
                  <c:v>59362.5</c:v>
                </c:pt>
                <c:pt idx="557">
                  <c:v>59542</c:v>
                </c:pt>
                <c:pt idx="558">
                  <c:v>59721.5</c:v>
                </c:pt>
                <c:pt idx="559">
                  <c:v>59901</c:v>
                </c:pt>
                <c:pt idx="560">
                  <c:v>60080.5</c:v>
                </c:pt>
                <c:pt idx="561">
                  <c:v>60260</c:v>
                </c:pt>
                <c:pt idx="562">
                  <c:v>60439.5</c:v>
                </c:pt>
                <c:pt idx="563">
                  <c:v>60619</c:v>
                </c:pt>
                <c:pt idx="564">
                  <c:v>60798.5</c:v>
                </c:pt>
                <c:pt idx="565">
                  <c:v>60978</c:v>
                </c:pt>
                <c:pt idx="566">
                  <c:v>61157.5</c:v>
                </c:pt>
                <c:pt idx="567">
                  <c:v>61337</c:v>
                </c:pt>
                <c:pt idx="568">
                  <c:v>61516.5</c:v>
                </c:pt>
                <c:pt idx="569">
                  <c:v>61696</c:v>
                </c:pt>
                <c:pt idx="570">
                  <c:v>61875.5</c:v>
                </c:pt>
                <c:pt idx="571">
                  <c:v>62055</c:v>
                </c:pt>
                <c:pt idx="572">
                  <c:v>62234.5</c:v>
                </c:pt>
                <c:pt idx="573">
                  <c:v>62414</c:v>
                </c:pt>
                <c:pt idx="574">
                  <c:v>62593.5</c:v>
                </c:pt>
                <c:pt idx="575">
                  <c:v>62773</c:v>
                </c:pt>
                <c:pt idx="576">
                  <c:v>62952.5</c:v>
                </c:pt>
                <c:pt idx="577">
                  <c:v>63132</c:v>
                </c:pt>
                <c:pt idx="578">
                  <c:v>63311.5</c:v>
                </c:pt>
                <c:pt idx="579">
                  <c:v>63491</c:v>
                </c:pt>
                <c:pt idx="580">
                  <c:v>63670.5</c:v>
                </c:pt>
                <c:pt idx="581">
                  <c:v>63850</c:v>
                </c:pt>
                <c:pt idx="582">
                  <c:v>64029.5</c:v>
                </c:pt>
                <c:pt idx="583">
                  <c:v>64209</c:v>
                </c:pt>
                <c:pt idx="584">
                  <c:v>64388.5</c:v>
                </c:pt>
                <c:pt idx="585">
                  <c:v>64568</c:v>
                </c:pt>
                <c:pt idx="586">
                  <c:v>64747.5</c:v>
                </c:pt>
                <c:pt idx="587">
                  <c:v>64927</c:v>
                </c:pt>
                <c:pt idx="588">
                  <c:v>65106.5</c:v>
                </c:pt>
                <c:pt idx="589">
                  <c:v>65286</c:v>
                </c:pt>
                <c:pt idx="590">
                  <c:v>65465.5</c:v>
                </c:pt>
                <c:pt idx="591">
                  <c:v>65645</c:v>
                </c:pt>
                <c:pt idx="592">
                  <c:v>65824.5</c:v>
                </c:pt>
                <c:pt idx="593">
                  <c:v>66004</c:v>
                </c:pt>
                <c:pt idx="594">
                  <c:v>66183.5</c:v>
                </c:pt>
                <c:pt idx="595">
                  <c:v>66363</c:v>
                </c:pt>
                <c:pt idx="596">
                  <c:v>66542.5</c:v>
                </c:pt>
                <c:pt idx="597">
                  <c:v>66722</c:v>
                </c:pt>
                <c:pt idx="598">
                  <c:v>66901.5</c:v>
                </c:pt>
                <c:pt idx="599">
                  <c:v>67081</c:v>
                </c:pt>
                <c:pt idx="600">
                  <c:v>67260.5</c:v>
                </c:pt>
                <c:pt idx="601">
                  <c:v>67440</c:v>
                </c:pt>
                <c:pt idx="602">
                  <c:v>67619.5</c:v>
                </c:pt>
                <c:pt idx="603">
                  <c:v>67799</c:v>
                </c:pt>
                <c:pt idx="604">
                  <c:v>67978.5</c:v>
                </c:pt>
                <c:pt idx="605">
                  <c:v>68158</c:v>
                </c:pt>
                <c:pt idx="606">
                  <c:v>68337.5</c:v>
                </c:pt>
                <c:pt idx="607">
                  <c:v>68517</c:v>
                </c:pt>
                <c:pt idx="608">
                  <c:v>68696.5</c:v>
                </c:pt>
                <c:pt idx="609">
                  <c:v>68876</c:v>
                </c:pt>
                <c:pt idx="610">
                  <c:v>69055.5</c:v>
                </c:pt>
                <c:pt idx="611">
                  <c:v>69235</c:v>
                </c:pt>
                <c:pt idx="612">
                  <c:v>69414.5</c:v>
                </c:pt>
                <c:pt idx="613">
                  <c:v>69594</c:v>
                </c:pt>
                <c:pt idx="614">
                  <c:v>69773.5</c:v>
                </c:pt>
                <c:pt idx="615">
                  <c:v>69953</c:v>
                </c:pt>
                <c:pt idx="616">
                  <c:v>70132.5</c:v>
                </c:pt>
                <c:pt idx="617">
                  <c:v>70312</c:v>
                </c:pt>
                <c:pt idx="618">
                  <c:v>70491.5</c:v>
                </c:pt>
                <c:pt idx="619">
                  <c:v>70671</c:v>
                </c:pt>
                <c:pt idx="620">
                  <c:v>70850.5</c:v>
                </c:pt>
                <c:pt idx="621">
                  <c:v>71030</c:v>
                </c:pt>
                <c:pt idx="622">
                  <c:v>71209.5</c:v>
                </c:pt>
                <c:pt idx="623">
                  <c:v>71389</c:v>
                </c:pt>
                <c:pt idx="624">
                  <c:v>71568.5</c:v>
                </c:pt>
                <c:pt idx="625">
                  <c:v>71748</c:v>
                </c:pt>
                <c:pt idx="626">
                  <c:v>71927.5</c:v>
                </c:pt>
                <c:pt idx="627">
                  <c:v>72107</c:v>
                </c:pt>
                <c:pt idx="628">
                  <c:v>72286.5</c:v>
                </c:pt>
                <c:pt idx="629">
                  <c:v>72466</c:v>
                </c:pt>
                <c:pt idx="630">
                  <c:v>72645.5</c:v>
                </c:pt>
                <c:pt idx="631">
                  <c:v>72825</c:v>
                </c:pt>
                <c:pt idx="632">
                  <c:v>73004.5</c:v>
                </c:pt>
                <c:pt idx="633">
                  <c:v>73184</c:v>
                </c:pt>
                <c:pt idx="634">
                  <c:v>73363.5</c:v>
                </c:pt>
                <c:pt idx="635">
                  <c:v>73543</c:v>
                </c:pt>
                <c:pt idx="636">
                  <c:v>73722.5</c:v>
                </c:pt>
                <c:pt idx="637">
                  <c:v>73902</c:v>
                </c:pt>
                <c:pt idx="638">
                  <c:v>74081.5</c:v>
                </c:pt>
                <c:pt idx="639">
                  <c:v>74261</c:v>
                </c:pt>
                <c:pt idx="640">
                  <c:v>74440.5</c:v>
                </c:pt>
                <c:pt idx="641">
                  <c:v>74620</c:v>
                </c:pt>
                <c:pt idx="642">
                  <c:v>74799.5</c:v>
                </c:pt>
                <c:pt idx="643">
                  <c:v>74979</c:v>
                </c:pt>
                <c:pt idx="644">
                  <c:v>75158.5</c:v>
                </c:pt>
                <c:pt idx="645">
                  <c:v>75338</c:v>
                </c:pt>
                <c:pt idx="646">
                  <c:v>75517.5</c:v>
                </c:pt>
                <c:pt idx="647">
                  <c:v>75697</c:v>
                </c:pt>
                <c:pt idx="648">
                  <c:v>75876.5</c:v>
                </c:pt>
                <c:pt idx="649">
                  <c:v>76056</c:v>
                </c:pt>
                <c:pt idx="650">
                  <c:v>76235.5</c:v>
                </c:pt>
                <c:pt idx="651">
                  <c:v>76415</c:v>
                </c:pt>
                <c:pt idx="652">
                  <c:v>76594.5</c:v>
                </c:pt>
                <c:pt idx="653">
                  <c:v>76774</c:v>
                </c:pt>
                <c:pt idx="654">
                  <c:v>76953.5</c:v>
                </c:pt>
                <c:pt idx="655">
                  <c:v>77133</c:v>
                </c:pt>
                <c:pt idx="656">
                  <c:v>77312.5</c:v>
                </c:pt>
                <c:pt idx="657">
                  <c:v>77492</c:v>
                </c:pt>
                <c:pt idx="658">
                  <c:v>77671.5</c:v>
                </c:pt>
                <c:pt idx="659">
                  <c:v>77851</c:v>
                </c:pt>
                <c:pt idx="660">
                  <c:v>78030.5</c:v>
                </c:pt>
                <c:pt idx="661">
                  <c:v>78210</c:v>
                </c:pt>
                <c:pt idx="662">
                  <c:v>78389.5</c:v>
                </c:pt>
                <c:pt idx="663">
                  <c:v>78569</c:v>
                </c:pt>
                <c:pt idx="664">
                  <c:v>78748.5</c:v>
                </c:pt>
                <c:pt idx="665">
                  <c:v>78928</c:v>
                </c:pt>
                <c:pt idx="666">
                  <c:v>79107.5</c:v>
                </c:pt>
                <c:pt idx="667">
                  <c:v>79287</c:v>
                </c:pt>
                <c:pt idx="668">
                  <c:v>79466.5</c:v>
                </c:pt>
                <c:pt idx="669">
                  <c:v>79646</c:v>
                </c:pt>
                <c:pt idx="670">
                  <c:v>79825.5</c:v>
                </c:pt>
                <c:pt idx="671">
                  <c:v>80005</c:v>
                </c:pt>
                <c:pt idx="672">
                  <c:v>80184.5</c:v>
                </c:pt>
                <c:pt idx="673">
                  <c:v>80364</c:v>
                </c:pt>
                <c:pt idx="674">
                  <c:v>80543.5</c:v>
                </c:pt>
                <c:pt idx="675">
                  <c:v>80723</c:v>
                </c:pt>
                <c:pt idx="676">
                  <c:v>80902.5</c:v>
                </c:pt>
                <c:pt idx="677">
                  <c:v>81082</c:v>
                </c:pt>
                <c:pt idx="678">
                  <c:v>81261.5</c:v>
                </c:pt>
                <c:pt idx="679">
                  <c:v>81441</c:v>
                </c:pt>
                <c:pt idx="680">
                  <c:v>81620.5</c:v>
                </c:pt>
                <c:pt idx="681">
                  <c:v>81800</c:v>
                </c:pt>
                <c:pt idx="682">
                  <c:v>81979.5</c:v>
                </c:pt>
                <c:pt idx="683">
                  <c:v>82159</c:v>
                </c:pt>
                <c:pt idx="684">
                  <c:v>82338.5</c:v>
                </c:pt>
                <c:pt idx="685">
                  <c:v>82518</c:v>
                </c:pt>
                <c:pt idx="686">
                  <c:v>82697.5</c:v>
                </c:pt>
                <c:pt idx="687">
                  <c:v>82877</c:v>
                </c:pt>
                <c:pt idx="688">
                  <c:v>83056.5</c:v>
                </c:pt>
                <c:pt idx="689">
                  <c:v>83236</c:v>
                </c:pt>
                <c:pt idx="690">
                  <c:v>83415.5</c:v>
                </c:pt>
                <c:pt idx="691">
                  <c:v>83595</c:v>
                </c:pt>
                <c:pt idx="692">
                  <c:v>83774.5</c:v>
                </c:pt>
                <c:pt idx="693">
                  <c:v>83954</c:v>
                </c:pt>
                <c:pt idx="694">
                  <c:v>84133.5</c:v>
                </c:pt>
                <c:pt idx="695">
                  <c:v>84313</c:v>
                </c:pt>
                <c:pt idx="696">
                  <c:v>84492.5</c:v>
                </c:pt>
                <c:pt idx="697">
                  <c:v>84672</c:v>
                </c:pt>
                <c:pt idx="698">
                  <c:v>84851.5</c:v>
                </c:pt>
                <c:pt idx="699">
                  <c:v>85031</c:v>
                </c:pt>
                <c:pt idx="700">
                  <c:v>85210.5</c:v>
                </c:pt>
                <c:pt idx="701">
                  <c:v>85390</c:v>
                </c:pt>
                <c:pt idx="702">
                  <c:v>85569.5</c:v>
                </c:pt>
                <c:pt idx="703">
                  <c:v>85749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5616"/>
        <c:axId val="11697536"/>
      </c:scatterChart>
      <c:scatterChart>
        <c:scatterStyle val="lineMarker"/>
        <c:varyColors val="0"/>
        <c:ser>
          <c:idx val="2"/>
          <c:order val="1"/>
          <c:tx>
            <c:v>Effective Marginal Tax Rate (Right Axis)</c:v>
          </c:tx>
          <c:spPr>
            <a:ln w="63500"/>
          </c:spPr>
          <c:marker>
            <c:symbol val="none"/>
          </c:marker>
          <c:xVal>
            <c:numRef>
              <c:f>Sheet1!$B$39:$B$741</c:f>
              <c:numCache>
                <c:formatCode>"$"#,##0_);[Red]\("$"#,##0\)</c:formatCode>
                <c:ptCount val="70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  <c:pt idx="59">
                  <c:v>30500</c:v>
                </c:pt>
                <c:pt idx="60">
                  <c:v>31000</c:v>
                </c:pt>
                <c:pt idx="61">
                  <c:v>31500</c:v>
                </c:pt>
                <c:pt idx="62">
                  <c:v>32000</c:v>
                </c:pt>
                <c:pt idx="63">
                  <c:v>32500</c:v>
                </c:pt>
                <c:pt idx="64">
                  <c:v>33000</c:v>
                </c:pt>
                <c:pt idx="65">
                  <c:v>33500</c:v>
                </c:pt>
                <c:pt idx="66">
                  <c:v>34000</c:v>
                </c:pt>
                <c:pt idx="67">
                  <c:v>34500</c:v>
                </c:pt>
                <c:pt idx="68">
                  <c:v>35000</c:v>
                </c:pt>
                <c:pt idx="69">
                  <c:v>35500</c:v>
                </c:pt>
                <c:pt idx="70">
                  <c:v>36000</c:v>
                </c:pt>
                <c:pt idx="71">
                  <c:v>36500</c:v>
                </c:pt>
                <c:pt idx="72">
                  <c:v>37000</c:v>
                </c:pt>
                <c:pt idx="73">
                  <c:v>37500</c:v>
                </c:pt>
                <c:pt idx="74">
                  <c:v>38000</c:v>
                </c:pt>
                <c:pt idx="75">
                  <c:v>38500</c:v>
                </c:pt>
                <c:pt idx="76">
                  <c:v>39000</c:v>
                </c:pt>
                <c:pt idx="77">
                  <c:v>39500</c:v>
                </c:pt>
                <c:pt idx="78">
                  <c:v>40000</c:v>
                </c:pt>
                <c:pt idx="79">
                  <c:v>40500</c:v>
                </c:pt>
                <c:pt idx="80">
                  <c:v>41000</c:v>
                </c:pt>
                <c:pt idx="81">
                  <c:v>41500</c:v>
                </c:pt>
                <c:pt idx="82">
                  <c:v>42000</c:v>
                </c:pt>
                <c:pt idx="83">
                  <c:v>42500</c:v>
                </c:pt>
                <c:pt idx="84">
                  <c:v>43000</c:v>
                </c:pt>
                <c:pt idx="85">
                  <c:v>43500</c:v>
                </c:pt>
                <c:pt idx="86">
                  <c:v>44000</c:v>
                </c:pt>
                <c:pt idx="87">
                  <c:v>44500</c:v>
                </c:pt>
                <c:pt idx="88">
                  <c:v>45000</c:v>
                </c:pt>
                <c:pt idx="89">
                  <c:v>45500</c:v>
                </c:pt>
                <c:pt idx="90">
                  <c:v>46000</c:v>
                </c:pt>
                <c:pt idx="91">
                  <c:v>46500</c:v>
                </c:pt>
                <c:pt idx="92">
                  <c:v>47000</c:v>
                </c:pt>
                <c:pt idx="93">
                  <c:v>47500</c:v>
                </c:pt>
                <c:pt idx="94">
                  <c:v>48000</c:v>
                </c:pt>
                <c:pt idx="95">
                  <c:v>48500</c:v>
                </c:pt>
                <c:pt idx="96">
                  <c:v>49000</c:v>
                </c:pt>
                <c:pt idx="97">
                  <c:v>49500</c:v>
                </c:pt>
                <c:pt idx="98">
                  <c:v>50000</c:v>
                </c:pt>
                <c:pt idx="99">
                  <c:v>50500</c:v>
                </c:pt>
                <c:pt idx="100">
                  <c:v>51000</c:v>
                </c:pt>
                <c:pt idx="101">
                  <c:v>51500</c:v>
                </c:pt>
                <c:pt idx="102">
                  <c:v>52000</c:v>
                </c:pt>
                <c:pt idx="103">
                  <c:v>52500</c:v>
                </c:pt>
                <c:pt idx="104">
                  <c:v>53000</c:v>
                </c:pt>
                <c:pt idx="105">
                  <c:v>53500</c:v>
                </c:pt>
                <c:pt idx="106">
                  <c:v>54000</c:v>
                </c:pt>
                <c:pt idx="107">
                  <c:v>54500</c:v>
                </c:pt>
                <c:pt idx="108">
                  <c:v>55000</c:v>
                </c:pt>
                <c:pt idx="109">
                  <c:v>55500</c:v>
                </c:pt>
                <c:pt idx="110">
                  <c:v>56000</c:v>
                </c:pt>
                <c:pt idx="111">
                  <c:v>56500</c:v>
                </c:pt>
                <c:pt idx="112">
                  <c:v>57000</c:v>
                </c:pt>
                <c:pt idx="113">
                  <c:v>57500</c:v>
                </c:pt>
                <c:pt idx="114">
                  <c:v>58000</c:v>
                </c:pt>
                <c:pt idx="115">
                  <c:v>58500</c:v>
                </c:pt>
                <c:pt idx="116">
                  <c:v>59000</c:v>
                </c:pt>
                <c:pt idx="117">
                  <c:v>59500</c:v>
                </c:pt>
                <c:pt idx="118">
                  <c:v>60000</c:v>
                </c:pt>
                <c:pt idx="119">
                  <c:v>60500</c:v>
                </c:pt>
                <c:pt idx="120">
                  <c:v>61000</c:v>
                </c:pt>
                <c:pt idx="121">
                  <c:v>61500</c:v>
                </c:pt>
                <c:pt idx="122">
                  <c:v>62000</c:v>
                </c:pt>
                <c:pt idx="123">
                  <c:v>62500</c:v>
                </c:pt>
                <c:pt idx="124">
                  <c:v>63000</c:v>
                </c:pt>
                <c:pt idx="125">
                  <c:v>63500</c:v>
                </c:pt>
                <c:pt idx="126">
                  <c:v>64000</c:v>
                </c:pt>
                <c:pt idx="127">
                  <c:v>64500</c:v>
                </c:pt>
                <c:pt idx="128">
                  <c:v>65000</c:v>
                </c:pt>
                <c:pt idx="129">
                  <c:v>65500</c:v>
                </c:pt>
                <c:pt idx="130">
                  <c:v>66000</c:v>
                </c:pt>
                <c:pt idx="131">
                  <c:v>66500</c:v>
                </c:pt>
                <c:pt idx="132">
                  <c:v>67000</c:v>
                </c:pt>
                <c:pt idx="133">
                  <c:v>67500</c:v>
                </c:pt>
                <c:pt idx="134">
                  <c:v>68000</c:v>
                </c:pt>
                <c:pt idx="135">
                  <c:v>68500</c:v>
                </c:pt>
                <c:pt idx="136">
                  <c:v>69000</c:v>
                </c:pt>
                <c:pt idx="137">
                  <c:v>69500</c:v>
                </c:pt>
                <c:pt idx="138">
                  <c:v>70000</c:v>
                </c:pt>
                <c:pt idx="139">
                  <c:v>70500</c:v>
                </c:pt>
                <c:pt idx="140">
                  <c:v>71000</c:v>
                </c:pt>
                <c:pt idx="141">
                  <c:v>71500</c:v>
                </c:pt>
                <c:pt idx="142">
                  <c:v>72000</c:v>
                </c:pt>
                <c:pt idx="143">
                  <c:v>72500</c:v>
                </c:pt>
                <c:pt idx="144">
                  <c:v>73000</c:v>
                </c:pt>
                <c:pt idx="145">
                  <c:v>73500</c:v>
                </c:pt>
                <c:pt idx="146">
                  <c:v>74000</c:v>
                </c:pt>
                <c:pt idx="147">
                  <c:v>74500</c:v>
                </c:pt>
                <c:pt idx="148">
                  <c:v>75000</c:v>
                </c:pt>
                <c:pt idx="149">
                  <c:v>75500</c:v>
                </c:pt>
                <c:pt idx="150">
                  <c:v>76000</c:v>
                </c:pt>
                <c:pt idx="151">
                  <c:v>76500</c:v>
                </c:pt>
                <c:pt idx="152">
                  <c:v>77000</c:v>
                </c:pt>
                <c:pt idx="153">
                  <c:v>77500</c:v>
                </c:pt>
                <c:pt idx="154">
                  <c:v>78000</c:v>
                </c:pt>
                <c:pt idx="155">
                  <c:v>78500</c:v>
                </c:pt>
                <c:pt idx="156">
                  <c:v>79000</c:v>
                </c:pt>
                <c:pt idx="157">
                  <c:v>79500</c:v>
                </c:pt>
                <c:pt idx="158">
                  <c:v>80000</c:v>
                </c:pt>
                <c:pt idx="159">
                  <c:v>80500</c:v>
                </c:pt>
                <c:pt idx="160">
                  <c:v>81000</c:v>
                </c:pt>
                <c:pt idx="161">
                  <c:v>81500</c:v>
                </c:pt>
                <c:pt idx="162">
                  <c:v>82000</c:v>
                </c:pt>
                <c:pt idx="163">
                  <c:v>82500</c:v>
                </c:pt>
                <c:pt idx="164">
                  <c:v>83000</c:v>
                </c:pt>
                <c:pt idx="165">
                  <c:v>83500</c:v>
                </c:pt>
                <c:pt idx="166">
                  <c:v>84000</c:v>
                </c:pt>
                <c:pt idx="167">
                  <c:v>84500</c:v>
                </c:pt>
                <c:pt idx="168">
                  <c:v>85000</c:v>
                </c:pt>
                <c:pt idx="169">
                  <c:v>85500</c:v>
                </c:pt>
                <c:pt idx="170">
                  <c:v>86000</c:v>
                </c:pt>
                <c:pt idx="171">
                  <c:v>86500</c:v>
                </c:pt>
                <c:pt idx="172">
                  <c:v>87000</c:v>
                </c:pt>
                <c:pt idx="173">
                  <c:v>87500</c:v>
                </c:pt>
                <c:pt idx="174">
                  <c:v>88000</c:v>
                </c:pt>
                <c:pt idx="175">
                  <c:v>88500</c:v>
                </c:pt>
                <c:pt idx="176">
                  <c:v>89000</c:v>
                </c:pt>
                <c:pt idx="177">
                  <c:v>89500</c:v>
                </c:pt>
                <c:pt idx="178">
                  <c:v>90000</c:v>
                </c:pt>
                <c:pt idx="179">
                  <c:v>90500</c:v>
                </c:pt>
                <c:pt idx="180">
                  <c:v>91000</c:v>
                </c:pt>
                <c:pt idx="181">
                  <c:v>91500</c:v>
                </c:pt>
                <c:pt idx="182">
                  <c:v>92000</c:v>
                </c:pt>
                <c:pt idx="183">
                  <c:v>92500</c:v>
                </c:pt>
                <c:pt idx="184">
                  <c:v>93000</c:v>
                </c:pt>
                <c:pt idx="185">
                  <c:v>93500</c:v>
                </c:pt>
                <c:pt idx="186">
                  <c:v>94000</c:v>
                </c:pt>
                <c:pt idx="187">
                  <c:v>94500</c:v>
                </c:pt>
                <c:pt idx="188">
                  <c:v>95000</c:v>
                </c:pt>
                <c:pt idx="189">
                  <c:v>95500</c:v>
                </c:pt>
                <c:pt idx="190">
                  <c:v>96000</c:v>
                </c:pt>
                <c:pt idx="191">
                  <c:v>96500</c:v>
                </c:pt>
                <c:pt idx="192">
                  <c:v>97000</c:v>
                </c:pt>
                <c:pt idx="193">
                  <c:v>97500</c:v>
                </c:pt>
                <c:pt idx="194">
                  <c:v>98000</c:v>
                </c:pt>
                <c:pt idx="195">
                  <c:v>98500</c:v>
                </c:pt>
                <c:pt idx="196">
                  <c:v>99000</c:v>
                </c:pt>
                <c:pt idx="197">
                  <c:v>99500</c:v>
                </c:pt>
                <c:pt idx="198">
                  <c:v>100000</c:v>
                </c:pt>
                <c:pt idx="199">
                  <c:v>100500</c:v>
                </c:pt>
                <c:pt idx="200">
                  <c:v>101000</c:v>
                </c:pt>
                <c:pt idx="201">
                  <c:v>101500</c:v>
                </c:pt>
                <c:pt idx="202">
                  <c:v>102000</c:v>
                </c:pt>
                <c:pt idx="203">
                  <c:v>102500</c:v>
                </c:pt>
                <c:pt idx="204">
                  <c:v>103000</c:v>
                </c:pt>
                <c:pt idx="205">
                  <c:v>103500</c:v>
                </c:pt>
                <c:pt idx="206">
                  <c:v>104000</c:v>
                </c:pt>
                <c:pt idx="207">
                  <c:v>104500</c:v>
                </c:pt>
                <c:pt idx="208">
                  <c:v>105000</c:v>
                </c:pt>
                <c:pt idx="209">
                  <c:v>105500</c:v>
                </c:pt>
                <c:pt idx="210">
                  <c:v>106000</c:v>
                </c:pt>
                <c:pt idx="211">
                  <c:v>106500</c:v>
                </c:pt>
                <c:pt idx="212">
                  <c:v>107000</c:v>
                </c:pt>
                <c:pt idx="213">
                  <c:v>107500</c:v>
                </c:pt>
                <c:pt idx="214">
                  <c:v>108000</c:v>
                </c:pt>
                <c:pt idx="215">
                  <c:v>108500</c:v>
                </c:pt>
                <c:pt idx="216">
                  <c:v>109000</c:v>
                </c:pt>
                <c:pt idx="217">
                  <c:v>109500</c:v>
                </c:pt>
                <c:pt idx="218">
                  <c:v>110000</c:v>
                </c:pt>
                <c:pt idx="219">
                  <c:v>110500</c:v>
                </c:pt>
                <c:pt idx="220">
                  <c:v>111000</c:v>
                </c:pt>
                <c:pt idx="221">
                  <c:v>111500</c:v>
                </c:pt>
                <c:pt idx="222">
                  <c:v>112000</c:v>
                </c:pt>
                <c:pt idx="223">
                  <c:v>112500</c:v>
                </c:pt>
                <c:pt idx="224">
                  <c:v>113000</c:v>
                </c:pt>
                <c:pt idx="225">
                  <c:v>113500</c:v>
                </c:pt>
                <c:pt idx="226">
                  <c:v>114000</c:v>
                </c:pt>
                <c:pt idx="227">
                  <c:v>114500</c:v>
                </c:pt>
                <c:pt idx="228">
                  <c:v>115000</c:v>
                </c:pt>
                <c:pt idx="229">
                  <c:v>115500</c:v>
                </c:pt>
                <c:pt idx="230">
                  <c:v>116000</c:v>
                </c:pt>
                <c:pt idx="231">
                  <c:v>116500</c:v>
                </c:pt>
                <c:pt idx="232">
                  <c:v>117000</c:v>
                </c:pt>
                <c:pt idx="233">
                  <c:v>117500</c:v>
                </c:pt>
                <c:pt idx="234">
                  <c:v>118000</c:v>
                </c:pt>
                <c:pt idx="235">
                  <c:v>118500</c:v>
                </c:pt>
                <c:pt idx="236">
                  <c:v>119000</c:v>
                </c:pt>
                <c:pt idx="237">
                  <c:v>119500</c:v>
                </c:pt>
                <c:pt idx="238">
                  <c:v>120000</c:v>
                </c:pt>
                <c:pt idx="239">
                  <c:v>120500</c:v>
                </c:pt>
                <c:pt idx="240">
                  <c:v>121000</c:v>
                </c:pt>
                <c:pt idx="241">
                  <c:v>121500</c:v>
                </c:pt>
                <c:pt idx="242">
                  <c:v>122000</c:v>
                </c:pt>
                <c:pt idx="243">
                  <c:v>122500</c:v>
                </c:pt>
                <c:pt idx="244">
                  <c:v>123000</c:v>
                </c:pt>
                <c:pt idx="245">
                  <c:v>123500</c:v>
                </c:pt>
                <c:pt idx="246">
                  <c:v>124000</c:v>
                </c:pt>
                <c:pt idx="247">
                  <c:v>124500</c:v>
                </c:pt>
                <c:pt idx="248">
                  <c:v>125000</c:v>
                </c:pt>
                <c:pt idx="249">
                  <c:v>125500</c:v>
                </c:pt>
                <c:pt idx="250">
                  <c:v>126000</c:v>
                </c:pt>
                <c:pt idx="251">
                  <c:v>126500</c:v>
                </c:pt>
                <c:pt idx="252">
                  <c:v>127000</c:v>
                </c:pt>
                <c:pt idx="253">
                  <c:v>127500</c:v>
                </c:pt>
                <c:pt idx="254">
                  <c:v>128000</c:v>
                </c:pt>
                <c:pt idx="255">
                  <c:v>128500</c:v>
                </c:pt>
                <c:pt idx="256">
                  <c:v>129000</c:v>
                </c:pt>
                <c:pt idx="257">
                  <c:v>129500</c:v>
                </c:pt>
                <c:pt idx="258">
                  <c:v>130000</c:v>
                </c:pt>
                <c:pt idx="259">
                  <c:v>130500</c:v>
                </c:pt>
                <c:pt idx="260">
                  <c:v>131000</c:v>
                </c:pt>
                <c:pt idx="261">
                  <c:v>131500</c:v>
                </c:pt>
                <c:pt idx="262">
                  <c:v>132000</c:v>
                </c:pt>
                <c:pt idx="263">
                  <c:v>132500</c:v>
                </c:pt>
                <c:pt idx="264">
                  <c:v>133000</c:v>
                </c:pt>
                <c:pt idx="265">
                  <c:v>133500</c:v>
                </c:pt>
                <c:pt idx="266">
                  <c:v>134000</c:v>
                </c:pt>
                <c:pt idx="267">
                  <c:v>134500</c:v>
                </c:pt>
                <c:pt idx="268">
                  <c:v>135000</c:v>
                </c:pt>
                <c:pt idx="269">
                  <c:v>135500</c:v>
                </c:pt>
                <c:pt idx="270">
                  <c:v>136000</c:v>
                </c:pt>
                <c:pt idx="271">
                  <c:v>136500</c:v>
                </c:pt>
                <c:pt idx="272">
                  <c:v>137000</c:v>
                </c:pt>
                <c:pt idx="273">
                  <c:v>137500</c:v>
                </c:pt>
                <c:pt idx="274">
                  <c:v>138000</c:v>
                </c:pt>
                <c:pt idx="275">
                  <c:v>138500</c:v>
                </c:pt>
                <c:pt idx="276">
                  <c:v>139000</c:v>
                </c:pt>
                <c:pt idx="277">
                  <c:v>139500</c:v>
                </c:pt>
                <c:pt idx="278">
                  <c:v>140000</c:v>
                </c:pt>
                <c:pt idx="279">
                  <c:v>140500</c:v>
                </c:pt>
                <c:pt idx="280">
                  <c:v>141000</c:v>
                </c:pt>
                <c:pt idx="281">
                  <c:v>141500</c:v>
                </c:pt>
                <c:pt idx="282">
                  <c:v>142000</c:v>
                </c:pt>
                <c:pt idx="283">
                  <c:v>142500</c:v>
                </c:pt>
                <c:pt idx="284">
                  <c:v>143000</c:v>
                </c:pt>
                <c:pt idx="285">
                  <c:v>143500</c:v>
                </c:pt>
                <c:pt idx="286">
                  <c:v>144000</c:v>
                </c:pt>
                <c:pt idx="287">
                  <c:v>144500</c:v>
                </c:pt>
                <c:pt idx="288">
                  <c:v>145000</c:v>
                </c:pt>
                <c:pt idx="289">
                  <c:v>145500</c:v>
                </c:pt>
                <c:pt idx="290">
                  <c:v>146000</c:v>
                </c:pt>
                <c:pt idx="291">
                  <c:v>146500</c:v>
                </c:pt>
                <c:pt idx="292">
                  <c:v>147000</c:v>
                </c:pt>
                <c:pt idx="293">
                  <c:v>147500</c:v>
                </c:pt>
                <c:pt idx="294">
                  <c:v>148000</c:v>
                </c:pt>
                <c:pt idx="295">
                  <c:v>148500</c:v>
                </c:pt>
                <c:pt idx="296">
                  <c:v>149000</c:v>
                </c:pt>
                <c:pt idx="297">
                  <c:v>149500</c:v>
                </c:pt>
                <c:pt idx="298">
                  <c:v>150000</c:v>
                </c:pt>
                <c:pt idx="299">
                  <c:v>150500</c:v>
                </c:pt>
                <c:pt idx="300">
                  <c:v>151000</c:v>
                </c:pt>
                <c:pt idx="301">
                  <c:v>151500</c:v>
                </c:pt>
                <c:pt idx="302">
                  <c:v>152000</c:v>
                </c:pt>
                <c:pt idx="303">
                  <c:v>152500</c:v>
                </c:pt>
                <c:pt idx="304">
                  <c:v>153000</c:v>
                </c:pt>
                <c:pt idx="305">
                  <c:v>153500</c:v>
                </c:pt>
                <c:pt idx="306">
                  <c:v>154000</c:v>
                </c:pt>
                <c:pt idx="307">
                  <c:v>154500</c:v>
                </c:pt>
                <c:pt idx="308">
                  <c:v>155000</c:v>
                </c:pt>
                <c:pt idx="309">
                  <c:v>155500</c:v>
                </c:pt>
                <c:pt idx="310">
                  <c:v>156000</c:v>
                </c:pt>
                <c:pt idx="311">
                  <c:v>156500</c:v>
                </c:pt>
                <c:pt idx="312">
                  <c:v>157000</c:v>
                </c:pt>
                <c:pt idx="313">
                  <c:v>157500</c:v>
                </c:pt>
                <c:pt idx="314">
                  <c:v>158000</c:v>
                </c:pt>
                <c:pt idx="315">
                  <c:v>158500</c:v>
                </c:pt>
                <c:pt idx="316">
                  <c:v>159000</c:v>
                </c:pt>
                <c:pt idx="317">
                  <c:v>159500</c:v>
                </c:pt>
                <c:pt idx="318">
                  <c:v>160000</c:v>
                </c:pt>
                <c:pt idx="319">
                  <c:v>160500</c:v>
                </c:pt>
                <c:pt idx="320">
                  <c:v>161000</c:v>
                </c:pt>
                <c:pt idx="321">
                  <c:v>161500</c:v>
                </c:pt>
                <c:pt idx="322">
                  <c:v>162000</c:v>
                </c:pt>
                <c:pt idx="323">
                  <c:v>162500</c:v>
                </c:pt>
                <c:pt idx="324">
                  <c:v>163000</c:v>
                </c:pt>
                <c:pt idx="325">
                  <c:v>163500</c:v>
                </c:pt>
                <c:pt idx="326">
                  <c:v>164000</c:v>
                </c:pt>
                <c:pt idx="327">
                  <c:v>164500</c:v>
                </c:pt>
                <c:pt idx="328">
                  <c:v>165000</c:v>
                </c:pt>
                <c:pt idx="329">
                  <c:v>165500</c:v>
                </c:pt>
                <c:pt idx="330">
                  <c:v>166000</c:v>
                </c:pt>
                <c:pt idx="331">
                  <c:v>166500</c:v>
                </c:pt>
                <c:pt idx="332">
                  <c:v>167000</c:v>
                </c:pt>
                <c:pt idx="333">
                  <c:v>167500</c:v>
                </c:pt>
                <c:pt idx="334">
                  <c:v>168000</c:v>
                </c:pt>
                <c:pt idx="335">
                  <c:v>168500</c:v>
                </c:pt>
                <c:pt idx="336">
                  <c:v>169000</c:v>
                </c:pt>
                <c:pt idx="337">
                  <c:v>169500</c:v>
                </c:pt>
                <c:pt idx="338">
                  <c:v>170000</c:v>
                </c:pt>
                <c:pt idx="339">
                  <c:v>170500</c:v>
                </c:pt>
                <c:pt idx="340">
                  <c:v>171000</c:v>
                </c:pt>
                <c:pt idx="341">
                  <c:v>171500</c:v>
                </c:pt>
                <c:pt idx="342">
                  <c:v>172000</c:v>
                </c:pt>
                <c:pt idx="343">
                  <c:v>172500</c:v>
                </c:pt>
                <c:pt idx="344">
                  <c:v>173000</c:v>
                </c:pt>
                <c:pt idx="345">
                  <c:v>173500</c:v>
                </c:pt>
                <c:pt idx="346">
                  <c:v>174000</c:v>
                </c:pt>
                <c:pt idx="347">
                  <c:v>174500</c:v>
                </c:pt>
                <c:pt idx="348">
                  <c:v>175000</c:v>
                </c:pt>
                <c:pt idx="349">
                  <c:v>175500</c:v>
                </c:pt>
                <c:pt idx="350">
                  <c:v>176000</c:v>
                </c:pt>
                <c:pt idx="351">
                  <c:v>176500</c:v>
                </c:pt>
                <c:pt idx="352">
                  <c:v>177000</c:v>
                </c:pt>
                <c:pt idx="353">
                  <c:v>177500</c:v>
                </c:pt>
                <c:pt idx="354">
                  <c:v>178000</c:v>
                </c:pt>
                <c:pt idx="355">
                  <c:v>178500</c:v>
                </c:pt>
                <c:pt idx="356">
                  <c:v>179000</c:v>
                </c:pt>
                <c:pt idx="357">
                  <c:v>179500</c:v>
                </c:pt>
                <c:pt idx="358">
                  <c:v>180000</c:v>
                </c:pt>
                <c:pt idx="359">
                  <c:v>180500</c:v>
                </c:pt>
                <c:pt idx="360">
                  <c:v>181000</c:v>
                </c:pt>
                <c:pt idx="361">
                  <c:v>181500</c:v>
                </c:pt>
                <c:pt idx="362">
                  <c:v>182000</c:v>
                </c:pt>
                <c:pt idx="363">
                  <c:v>182500</c:v>
                </c:pt>
                <c:pt idx="364">
                  <c:v>183000</c:v>
                </c:pt>
                <c:pt idx="365">
                  <c:v>183500</c:v>
                </c:pt>
                <c:pt idx="366">
                  <c:v>184000</c:v>
                </c:pt>
                <c:pt idx="367">
                  <c:v>184500</c:v>
                </c:pt>
                <c:pt idx="368">
                  <c:v>185000</c:v>
                </c:pt>
                <c:pt idx="369">
                  <c:v>185500</c:v>
                </c:pt>
                <c:pt idx="370">
                  <c:v>186000</c:v>
                </c:pt>
                <c:pt idx="371">
                  <c:v>186500</c:v>
                </c:pt>
                <c:pt idx="372">
                  <c:v>187000</c:v>
                </c:pt>
                <c:pt idx="373">
                  <c:v>187500</c:v>
                </c:pt>
                <c:pt idx="374">
                  <c:v>188000</c:v>
                </c:pt>
                <c:pt idx="375">
                  <c:v>188500</c:v>
                </c:pt>
                <c:pt idx="376">
                  <c:v>189000</c:v>
                </c:pt>
                <c:pt idx="377">
                  <c:v>189500</c:v>
                </c:pt>
                <c:pt idx="378">
                  <c:v>190000</c:v>
                </c:pt>
                <c:pt idx="379">
                  <c:v>190500</c:v>
                </c:pt>
                <c:pt idx="380">
                  <c:v>191000</c:v>
                </c:pt>
                <c:pt idx="381">
                  <c:v>191500</c:v>
                </c:pt>
                <c:pt idx="382">
                  <c:v>192000</c:v>
                </c:pt>
                <c:pt idx="383">
                  <c:v>192500</c:v>
                </c:pt>
                <c:pt idx="384">
                  <c:v>193000</c:v>
                </c:pt>
                <c:pt idx="385">
                  <c:v>193500</c:v>
                </c:pt>
                <c:pt idx="386">
                  <c:v>194000</c:v>
                </c:pt>
                <c:pt idx="387">
                  <c:v>194500</c:v>
                </c:pt>
                <c:pt idx="388">
                  <c:v>195000</c:v>
                </c:pt>
                <c:pt idx="389">
                  <c:v>195500</c:v>
                </c:pt>
                <c:pt idx="390">
                  <c:v>196000</c:v>
                </c:pt>
                <c:pt idx="391">
                  <c:v>196500</c:v>
                </c:pt>
                <c:pt idx="392">
                  <c:v>197000</c:v>
                </c:pt>
                <c:pt idx="393">
                  <c:v>197500</c:v>
                </c:pt>
                <c:pt idx="394">
                  <c:v>198000</c:v>
                </c:pt>
                <c:pt idx="395">
                  <c:v>198500</c:v>
                </c:pt>
                <c:pt idx="396">
                  <c:v>199000</c:v>
                </c:pt>
                <c:pt idx="397">
                  <c:v>199500</c:v>
                </c:pt>
                <c:pt idx="398">
                  <c:v>200000</c:v>
                </c:pt>
                <c:pt idx="399">
                  <c:v>200500</c:v>
                </c:pt>
                <c:pt idx="400">
                  <c:v>201000</c:v>
                </c:pt>
                <c:pt idx="401">
                  <c:v>201500</c:v>
                </c:pt>
                <c:pt idx="402">
                  <c:v>202000</c:v>
                </c:pt>
                <c:pt idx="403">
                  <c:v>202500</c:v>
                </c:pt>
                <c:pt idx="404">
                  <c:v>203000</c:v>
                </c:pt>
                <c:pt idx="405">
                  <c:v>203500</c:v>
                </c:pt>
                <c:pt idx="406">
                  <c:v>204000</c:v>
                </c:pt>
                <c:pt idx="407">
                  <c:v>204500</c:v>
                </c:pt>
                <c:pt idx="408">
                  <c:v>205000</c:v>
                </c:pt>
                <c:pt idx="409">
                  <c:v>205500</c:v>
                </c:pt>
                <c:pt idx="410">
                  <c:v>206000</c:v>
                </c:pt>
                <c:pt idx="411">
                  <c:v>206500</c:v>
                </c:pt>
                <c:pt idx="412">
                  <c:v>207000</c:v>
                </c:pt>
                <c:pt idx="413">
                  <c:v>207500</c:v>
                </c:pt>
                <c:pt idx="414">
                  <c:v>208000</c:v>
                </c:pt>
                <c:pt idx="415">
                  <c:v>208500</c:v>
                </c:pt>
                <c:pt idx="416">
                  <c:v>209000</c:v>
                </c:pt>
                <c:pt idx="417">
                  <c:v>209500</c:v>
                </c:pt>
                <c:pt idx="418">
                  <c:v>210000</c:v>
                </c:pt>
                <c:pt idx="419">
                  <c:v>210500</c:v>
                </c:pt>
                <c:pt idx="420">
                  <c:v>211000</c:v>
                </c:pt>
                <c:pt idx="421">
                  <c:v>211500</c:v>
                </c:pt>
                <c:pt idx="422">
                  <c:v>212000</c:v>
                </c:pt>
                <c:pt idx="423">
                  <c:v>212500</c:v>
                </c:pt>
                <c:pt idx="424">
                  <c:v>213000</c:v>
                </c:pt>
                <c:pt idx="425">
                  <c:v>213500</c:v>
                </c:pt>
                <c:pt idx="426">
                  <c:v>214000</c:v>
                </c:pt>
                <c:pt idx="427">
                  <c:v>214500</c:v>
                </c:pt>
                <c:pt idx="428">
                  <c:v>215000</c:v>
                </c:pt>
                <c:pt idx="429">
                  <c:v>215500</c:v>
                </c:pt>
                <c:pt idx="430">
                  <c:v>216000</c:v>
                </c:pt>
                <c:pt idx="431">
                  <c:v>216500</c:v>
                </c:pt>
                <c:pt idx="432">
                  <c:v>217000</c:v>
                </c:pt>
                <c:pt idx="433">
                  <c:v>217500</c:v>
                </c:pt>
                <c:pt idx="434">
                  <c:v>218000</c:v>
                </c:pt>
                <c:pt idx="435">
                  <c:v>218500</c:v>
                </c:pt>
                <c:pt idx="436">
                  <c:v>219000</c:v>
                </c:pt>
                <c:pt idx="437">
                  <c:v>219500</c:v>
                </c:pt>
                <c:pt idx="438">
                  <c:v>220000</c:v>
                </c:pt>
                <c:pt idx="439">
                  <c:v>220500</c:v>
                </c:pt>
                <c:pt idx="440">
                  <c:v>221000</c:v>
                </c:pt>
                <c:pt idx="441">
                  <c:v>221500</c:v>
                </c:pt>
                <c:pt idx="442">
                  <c:v>222000</c:v>
                </c:pt>
                <c:pt idx="443">
                  <c:v>222500</c:v>
                </c:pt>
                <c:pt idx="444">
                  <c:v>223000</c:v>
                </c:pt>
                <c:pt idx="445">
                  <c:v>223500</c:v>
                </c:pt>
                <c:pt idx="446">
                  <c:v>224000</c:v>
                </c:pt>
                <c:pt idx="447">
                  <c:v>224500</c:v>
                </c:pt>
                <c:pt idx="448">
                  <c:v>225000</c:v>
                </c:pt>
                <c:pt idx="449">
                  <c:v>225500</c:v>
                </c:pt>
                <c:pt idx="450">
                  <c:v>226000</c:v>
                </c:pt>
                <c:pt idx="451">
                  <c:v>226500</c:v>
                </c:pt>
                <c:pt idx="452">
                  <c:v>227000</c:v>
                </c:pt>
                <c:pt idx="453">
                  <c:v>227500</c:v>
                </c:pt>
                <c:pt idx="454">
                  <c:v>228000</c:v>
                </c:pt>
                <c:pt idx="455">
                  <c:v>228500</c:v>
                </c:pt>
                <c:pt idx="456">
                  <c:v>229000</c:v>
                </c:pt>
                <c:pt idx="457">
                  <c:v>229500</c:v>
                </c:pt>
                <c:pt idx="458">
                  <c:v>230000</c:v>
                </c:pt>
                <c:pt idx="459">
                  <c:v>230500</c:v>
                </c:pt>
                <c:pt idx="460">
                  <c:v>231000</c:v>
                </c:pt>
                <c:pt idx="461">
                  <c:v>231500</c:v>
                </c:pt>
                <c:pt idx="462">
                  <c:v>232000</c:v>
                </c:pt>
                <c:pt idx="463">
                  <c:v>232500</c:v>
                </c:pt>
                <c:pt idx="464">
                  <c:v>233000</c:v>
                </c:pt>
                <c:pt idx="465">
                  <c:v>233500</c:v>
                </c:pt>
                <c:pt idx="466">
                  <c:v>234000</c:v>
                </c:pt>
                <c:pt idx="467">
                  <c:v>234500</c:v>
                </c:pt>
                <c:pt idx="468">
                  <c:v>235000</c:v>
                </c:pt>
                <c:pt idx="469">
                  <c:v>235500</c:v>
                </c:pt>
                <c:pt idx="470">
                  <c:v>236000</c:v>
                </c:pt>
                <c:pt idx="471">
                  <c:v>236500</c:v>
                </c:pt>
                <c:pt idx="472">
                  <c:v>237000</c:v>
                </c:pt>
                <c:pt idx="473">
                  <c:v>237500</c:v>
                </c:pt>
                <c:pt idx="474">
                  <c:v>238000</c:v>
                </c:pt>
                <c:pt idx="475">
                  <c:v>238500</c:v>
                </c:pt>
                <c:pt idx="476">
                  <c:v>239000</c:v>
                </c:pt>
                <c:pt idx="477">
                  <c:v>239500</c:v>
                </c:pt>
                <c:pt idx="478">
                  <c:v>240000</c:v>
                </c:pt>
                <c:pt idx="479">
                  <c:v>240500</c:v>
                </c:pt>
                <c:pt idx="480">
                  <c:v>241000</c:v>
                </c:pt>
                <c:pt idx="481">
                  <c:v>241500</c:v>
                </c:pt>
                <c:pt idx="482">
                  <c:v>242000</c:v>
                </c:pt>
                <c:pt idx="483">
                  <c:v>242500</c:v>
                </c:pt>
                <c:pt idx="484">
                  <c:v>243000</c:v>
                </c:pt>
                <c:pt idx="485">
                  <c:v>243500</c:v>
                </c:pt>
                <c:pt idx="486">
                  <c:v>244000</c:v>
                </c:pt>
                <c:pt idx="487">
                  <c:v>244500</c:v>
                </c:pt>
                <c:pt idx="488">
                  <c:v>245000</c:v>
                </c:pt>
                <c:pt idx="489">
                  <c:v>245500</c:v>
                </c:pt>
                <c:pt idx="490">
                  <c:v>246000</c:v>
                </c:pt>
                <c:pt idx="491">
                  <c:v>246500</c:v>
                </c:pt>
                <c:pt idx="492">
                  <c:v>247000</c:v>
                </c:pt>
                <c:pt idx="493">
                  <c:v>247500</c:v>
                </c:pt>
                <c:pt idx="494">
                  <c:v>248000</c:v>
                </c:pt>
                <c:pt idx="495">
                  <c:v>248500</c:v>
                </c:pt>
                <c:pt idx="496">
                  <c:v>249000</c:v>
                </c:pt>
                <c:pt idx="497">
                  <c:v>249500</c:v>
                </c:pt>
                <c:pt idx="498">
                  <c:v>250000</c:v>
                </c:pt>
                <c:pt idx="499">
                  <c:v>250500</c:v>
                </c:pt>
                <c:pt idx="500">
                  <c:v>251000</c:v>
                </c:pt>
                <c:pt idx="501">
                  <c:v>251500</c:v>
                </c:pt>
                <c:pt idx="502">
                  <c:v>252000</c:v>
                </c:pt>
                <c:pt idx="503">
                  <c:v>252500</c:v>
                </c:pt>
                <c:pt idx="504">
                  <c:v>253000</c:v>
                </c:pt>
                <c:pt idx="505">
                  <c:v>253500</c:v>
                </c:pt>
                <c:pt idx="506">
                  <c:v>254000</c:v>
                </c:pt>
                <c:pt idx="507">
                  <c:v>254500</c:v>
                </c:pt>
                <c:pt idx="508">
                  <c:v>255000</c:v>
                </c:pt>
                <c:pt idx="509">
                  <c:v>255500</c:v>
                </c:pt>
                <c:pt idx="510">
                  <c:v>256000</c:v>
                </c:pt>
                <c:pt idx="511">
                  <c:v>256500</c:v>
                </c:pt>
                <c:pt idx="512">
                  <c:v>257000</c:v>
                </c:pt>
                <c:pt idx="513">
                  <c:v>257500</c:v>
                </c:pt>
                <c:pt idx="514">
                  <c:v>258000</c:v>
                </c:pt>
                <c:pt idx="515">
                  <c:v>258500</c:v>
                </c:pt>
                <c:pt idx="516">
                  <c:v>259000</c:v>
                </c:pt>
                <c:pt idx="517">
                  <c:v>259500</c:v>
                </c:pt>
                <c:pt idx="518">
                  <c:v>260000</c:v>
                </c:pt>
                <c:pt idx="519">
                  <c:v>260500</c:v>
                </c:pt>
                <c:pt idx="520">
                  <c:v>261000</c:v>
                </c:pt>
                <c:pt idx="521">
                  <c:v>261500</c:v>
                </c:pt>
                <c:pt idx="522">
                  <c:v>262000</c:v>
                </c:pt>
                <c:pt idx="523">
                  <c:v>262500</c:v>
                </c:pt>
                <c:pt idx="524">
                  <c:v>263000</c:v>
                </c:pt>
                <c:pt idx="525">
                  <c:v>263500</c:v>
                </c:pt>
                <c:pt idx="526">
                  <c:v>264000</c:v>
                </c:pt>
                <c:pt idx="527">
                  <c:v>264500</c:v>
                </c:pt>
                <c:pt idx="528">
                  <c:v>265000</c:v>
                </c:pt>
                <c:pt idx="529">
                  <c:v>265500</c:v>
                </c:pt>
                <c:pt idx="530">
                  <c:v>266000</c:v>
                </c:pt>
                <c:pt idx="531">
                  <c:v>266500</c:v>
                </c:pt>
                <c:pt idx="532">
                  <c:v>267000</c:v>
                </c:pt>
                <c:pt idx="533">
                  <c:v>267500</c:v>
                </c:pt>
                <c:pt idx="534">
                  <c:v>268000</c:v>
                </c:pt>
                <c:pt idx="535">
                  <c:v>268500</c:v>
                </c:pt>
                <c:pt idx="536">
                  <c:v>269000</c:v>
                </c:pt>
                <c:pt idx="537">
                  <c:v>269500</c:v>
                </c:pt>
                <c:pt idx="538">
                  <c:v>270000</c:v>
                </c:pt>
                <c:pt idx="539">
                  <c:v>270500</c:v>
                </c:pt>
                <c:pt idx="540">
                  <c:v>271000</c:v>
                </c:pt>
                <c:pt idx="541">
                  <c:v>271500</c:v>
                </c:pt>
                <c:pt idx="542">
                  <c:v>272000</c:v>
                </c:pt>
                <c:pt idx="543">
                  <c:v>272500</c:v>
                </c:pt>
                <c:pt idx="544">
                  <c:v>273000</c:v>
                </c:pt>
                <c:pt idx="545">
                  <c:v>273500</c:v>
                </c:pt>
                <c:pt idx="546">
                  <c:v>274000</c:v>
                </c:pt>
                <c:pt idx="547">
                  <c:v>274500</c:v>
                </c:pt>
                <c:pt idx="548">
                  <c:v>275000</c:v>
                </c:pt>
                <c:pt idx="549">
                  <c:v>275500</c:v>
                </c:pt>
                <c:pt idx="550">
                  <c:v>276000</c:v>
                </c:pt>
                <c:pt idx="551">
                  <c:v>276500</c:v>
                </c:pt>
                <c:pt idx="552">
                  <c:v>277000</c:v>
                </c:pt>
                <c:pt idx="553">
                  <c:v>277500</c:v>
                </c:pt>
                <c:pt idx="554">
                  <c:v>278000</c:v>
                </c:pt>
                <c:pt idx="555">
                  <c:v>278500</c:v>
                </c:pt>
                <c:pt idx="556">
                  <c:v>279000</c:v>
                </c:pt>
                <c:pt idx="557">
                  <c:v>279500</c:v>
                </c:pt>
                <c:pt idx="558">
                  <c:v>280000</c:v>
                </c:pt>
                <c:pt idx="559">
                  <c:v>280500</c:v>
                </c:pt>
                <c:pt idx="560">
                  <c:v>281000</c:v>
                </c:pt>
                <c:pt idx="561">
                  <c:v>281500</c:v>
                </c:pt>
                <c:pt idx="562">
                  <c:v>282000</c:v>
                </c:pt>
                <c:pt idx="563">
                  <c:v>282500</c:v>
                </c:pt>
                <c:pt idx="564">
                  <c:v>283000</c:v>
                </c:pt>
                <c:pt idx="565">
                  <c:v>283500</c:v>
                </c:pt>
                <c:pt idx="566">
                  <c:v>284000</c:v>
                </c:pt>
                <c:pt idx="567">
                  <c:v>284500</c:v>
                </c:pt>
                <c:pt idx="568">
                  <c:v>285000</c:v>
                </c:pt>
                <c:pt idx="569">
                  <c:v>285500</c:v>
                </c:pt>
                <c:pt idx="570">
                  <c:v>286000</c:v>
                </c:pt>
                <c:pt idx="571">
                  <c:v>286500</c:v>
                </c:pt>
                <c:pt idx="572">
                  <c:v>287000</c:v>
                </c:pt>
                <c:pt idx="573">
                  <c:v>287500</c:v>
                </c:pt>
                <c:pt idx="574">
                  <c:v>288000</c:v>
                </c:pt>
                <c:pt idx="575">
                  <c:v>288500</c:v>
                </c:pt>
                <c:pt idx="576">
                  <c:v>289000</c:v>
                </c:pt>
                <c:pt idx="577">
                  <c:v>289500</c:v>
                </c:pt>
                <c:pt idx="578">
                  <c:v>290000</c:v>
                </c:pt>
                <c:pt idx="579">
                  <c:v>290500</c:v>
                </c:pt>
                <c:pt idx="580">
                  <c:v>291000</c:v>
                </c:pt>
                <c:pt idx="581">
                  <c:v>291500</c:v>
                </c:pt>
                <c:pt idx="582">
                  <c:v>292000</c:v>
                </c:pt>
                <c:pt idx="583">
                  <c:v>292500</c:v>
                </c:pt>
                <c:pt idx="584">
                  <c:v>293000</c:v>
                </c:pt>
                <c:pt idx="585">
                  <c:v>293500</c:v>
                </c:pt>
                <c:pt idx="586">
                  <c:v>294000</c:v>
                </c:pt>
                <c:pt idx="587">
                  <c:v>294500</c:v>
                </c:pt>
                <c:pt idx="588">
                  <c:v>295000</c:v>
                </c:pt>
                <c:pt idx="589">
                  <c:v>295500</c:v>
                </c:pt>
                <c:pt idx="590">
                  <c:v>296000</c:v>
                </c:pt>
                <c:pt idx="591">
                  <c:v>296500</c:v>
                </c:pt>
                <c:pt idx="592">
                  <c:v>297000</c:v>
                </c:pt>
                <c:pt idx="593">
                  <c:v>297500</c:v>
                </c:pt>
                <c:pt idx="594">
                  <c:v>298000</c:v>
                </c:pt>
                <c:pt idx="595">
                  <c:v>298500</c:v>
                </c:pt>
                <c:pt idx="596">
                  <c:v>299000</c:v>
                </c:pt>
                <c:pt idx="597">
                  <c:v>299500</c:v>
                </c:pt>
                <c:pt idx="598">
                  <c:v>300000</c:v>
                </c:pt>
                <c:pt idx="599">
                  <c:v>300500</c:v>
                </c:pt>
                <c:pt idx="600">
                  <c:v>301000</c:v>
                </c:pt>
                <c:pt idx="601">
                  <c:v>301500</c:v>
                </c:pt>
                <c:pt idx="602">
                  <c:v>302000</c:v>
                </c:pt>
                <c:pt idx="603">
                  <c:v>302500</c:v>
                </c:pt>
                <c:pt idx="604">
                  <c:v>303000</c:v>
                </c:pt>
                <c:pt idx="605">
                  <c:v>303500</c:v>
                </c:pt>
                <c:pt idx="606">
                  <c:v>304000</c:v>
                </c:pt>
                <c:pt idx="607">
                  <c:v>304500</c:v>
                </c:pt>
                <c:pt idx="608">
                  <c:v>305000</c:v>
                </c:pt>
                <c:pt idx="609">
                  <c:v>305500</c:v>
                </c:pt>
                <c:pt idx="610">
                  <c:v>306000</c:v>
                </c:pt>
                <c:pt idx="611">
                  <c:v>306500</c:v>
                </c:pt>
                <c:pt idx="612">
                  <c:v>307000</c:v>
                </c:pt>
                <c:pt idx="613">
                  <c:v>307500</c:v>
                </c:pt>
                <c:pt idx="614">
                  <c:v>308000</c:v>
                </c:pt>
                <c:pt idx="615">
                  <c:v>308500</c:v>
                </c:pt>
                <c:pt idx="616">
                  <c:v>309000</c:v>
                </c:pt>
                <c:pt idx="617">
                  <c:v>309500</c:v>
                </c:pt>
                <c:pt idx="618">
                  <c:v>310000</c:v>
                </c:pt>
                <c:pt idx="619">
                  <c:v>310500</c:v>
                </c:pt>
                <c:pt idx="620">
                  <c:v>311000</c:v>
                </c:pt>
                <c:pt idx="621">
                  <c:v>311500</c:v>
                </c:pt>
                <c:pt idx="622">
                  <c:v>312000</c:v>
                </c:pt>
                <c:pt idx="623">
                  <c:v>312500</c:v>
                </c:pt>
                <c:pt idx="624">
                  <c:v>313000</c:v>
                </c:pt>
                <c:pt idx="625">
                  <c:v>313500</c:v>
                </c:pt>
                <c:pt idx="626">
                  <c:v>314000</c:v>
                </c:pt>
                <c:pt idx="627">
                  <c:v>314500</c:v>
                </c:pt>
                <c:pt idx="628">
                  <c:v>315000</c:v>
                </c:pt>
                <c:pt idx="629">
                  <c:v>315500</c:v>
                </c:pt>
                <c:pt idx="630">
                  <c:v>316000</c:v>
                </c:pt>
                <c:pt idx="631">
                  <c:v>316500</c:v>
                </c:pt>
                <c:pt idx="632">
                  <c:v>317000</c:v>
                </c:pt>
                <c:pt idx="633">
                  <c:v>317500</c:v>
                </c:pt>
                <c:pt idx="634">
                  <c:v>318000</c:v>
                </c:pt>
                <c:pt idx="635">
                  <c:v>318500</c:v>
                </c:pt>
                <c:pt idx="636">
                  <c:v>319000</c:v>
                </c:pt>
                <c:pt idx="637">
                  <c:v>319500</c:v>
                </c:pt>
                <c:pt idx="638">
                  <c:v>320000</c:v>
                </c:pt>
                <c:pt idx="639">
                  <c:v>320500</c:v>
                </c:pt>
                <c:pt idx="640">
                  <c:v>321000</c:v>
                </c:pt>
                <c:pt idx="641">
                  <c:v>321500</c:v>
                </c:pt>
                <c:pt idx="642">
                  <c:v>322000</c:v>
                </c:pt>
                <c:pt idx="643">
                  <c:v>322500</c:v>
                </c:pt>
                <c:pt idx="644">
                  <c:v>323000</c:v>
                </c:pt>
                <c:pt idx="645">
                  <c:v>323500</c:v>
                </c:pt>
                <c:pt idx="646">
                  <c:v>324000</c:v>
                </c:pt>
                <c:pt idx="647">
                  <c:v>324500</c:v>
                </c:pt>
                <c:pt idx="648">
                  <c:v>325000</c:v>
                </c:pt>
                <c:pt idx="649">
                  <c:v>325500</c:v>
                </c:pt>
                <c:pt idx="650">
                  <c:v>326000</c:v>
                </c:pt>
                <c:pt idx="651">
                  <c:v>326500</c:v>
                </c:pt>
                <c:pt idx="652">
                  <c:v>327000</c:v>
                </c:pt>
                <c:pt idx="653">
                  <c:v>327500</c:v>
                </c:pt>
                <c:pt idx="654">
                  <c:v>328000</c:v>
                </c:pt>
                <c:pt idx="655">
                  <c:v>328500</c:v>
                </c:pt>
                <c:pt idx="656">
                  <c:v>329000</c:v>
                </c:pt>
                <c:pt idx="657">
                  <c:v>329500</c:v>
                </c:pt>
                <c:pt idx="658">
                  <c:v>330000</c:v>
                </c:pt>
                <c:pt idx="659">
                  <c:v>330500</c:v>
                </c:pt>
                <c:pt idx="660">
                  <c:v>331000</c:v>
                </c:pt>
                <c:pt idx="661">
                  <c:v>331500</c:v>
                </c:pt>
                <c:pt idx="662">
                  <c:v>332000</c:v>
                </c:pt>
                <c:pt idx="663">
                  <c:v>332500</c:v>
                </c:pt>
                <c:pt idx="664">
                  <c:v>333000</c:v>
                </c:pt>
                <c:pt idx="665">
                  <c:v>333500</c:v>
                </c:pt>
                <c:pt idx="666">
                  <c:v>334000</c:v>
                </c:pt>
                <c:pt idx="667">
                  <c:v>334500</c:v>
                </c:pt>
                <c:pt idx="668">
                  <c:v>335000</c:v>
                </c:pt>
                <c:pt idx="669">
                  <c:v>335500</c:v>
                </c:pt>
                <c:pt idx="670">
                  <c:v>336000</c:v>
                </c:pt>
                <c:pt idx="671">
                  <c:v>336500</c:v>
                </c:pt>
                <c:pt idx="672">
                  <c:v>337000</c:v>
                </c:pt>
                <c:pt idx="673">
                  <c:v>337500</c:v>
                </c:pt>
                <c:pt idx="674">
                  <c:v>338000</c:v>
                </c:pt>
                <c:pt idx="675">
                  <c:v>338500</c:v>
                </c:pt>
                <c:pt idx="676">
                  <c:v>339000</c:v>
                </c:pt>
                <c:pt idx="677">
                  <c:v>339500</c:v>
                </c:pt>
                <c:pt idx="678">
                  <c:v>340000</c:v>
                </c:pt>
                <c:pt idx="679">
                  <c:v>340500</c:v>
                </c:pt>
                <c:pt idx="680">
                  <c:v>341000</c:v>
                </c:pt>
                <c:pt idx="681">
                  <c:v>341500</c:v>
                </c:pt>
                <c:pt idx="682">
                  <c:v>342000</c:v>
                </c:pt>
                <c:pt idx="683">
                  <c:v>342500</c:v>
                </c:pt>
                <c:pt idx="684">
                  <c:v>343000</c:v>
                </c:pt>
                <c:pt idx="685">
                  <c:v>343500</c:v>
                </c:pt>
                <c:pt idx="686">
                  <c:v>344000</c:v>
                </c:pt>
                <c:pt idx="687">
                  <c:v>344500</c:v>
                </c:pt>
                <c:pt idx="688">
                  <c:v>345000</c:v>
                </c:pt>
                <c:pt idx="689">
                  <c:v>345500</c:v>
                </c:pt>
                <c:pt idx="690">
                  <c:v>346000</c:v>
                </c:pt>
                <c:pt idx="691">
                  <c:v>346500</c:v>
                </c:pt>
                <c:pt idx="692">
                  <c:v>347000</c:v>
                </c:pt>
                <c:pt idx="693">
                  <c:v>347500</c:v>
                </c:pt>
                <c:pt idx="694">
                  <c:v>348000</c:v>
                </c:pt>
                <c:pt idx="695">
                  <c:v>348500</c:v>
                </c:pt>
                <c:pt idx="696">
                  <c:v>349000</c:v>
                </c:pt>
                <c:pt idx="697">
                  <c:v>349500</c:v>
                </c:pt>
                <c:pt idx="698">
                  <c:v>350000</c:v>
                </c:pt>
                <c:pt idx="699">
                  <c:v>350500</c:v>
                </c:pt>
                <c:pt idx="700">
                  <c:v>351000</c:v>
                </c:pt>
                <c:pt idx="701">
                  <c:v>351500</c:v>
                </c:pt>
                <c:pt idx="702">
                  <c:v>352000</c:v>
                </c:pt>
              </c:numCache>
            </c:numRef>
          </c:xVal>
          <c:yVal>
            <c:numRef>
              <c:f>Sheet1!$AB$39:$AB$741</c:f>
              <c:numCache>
                <c:formatCode>0%</c:formatCode>
                <c:ptCount val="703"/>
                <c:pt idx="0">
                  <c:v>-0.45</c:v>
                </c:pt>
                <c:pt idx="1">
                  <c:v>-0.45</c:v>
                </c:pt>
                <c:pt idx="2">
                  <c:v>-0.45</c:v>
                </c:pt>
                <c:pt idx="3">
                  <c:v>-0.45</c:v>
                </c:pt>
                <c:pt idx="4">
                  <c:v>-0.45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-0.53800000000000003</c:v>
                </c:pt>
                <c:pt idx="27">
                  <c:v>-0.15</c:v>
                </c:pt>
                <c:pt idx="28">
                  <c:v>-0.15</c:v>
                </c:pt>
                <c:pt idx="29">
                  <c:v>-0.15</c:v>
                </c:pt>
                <c:pt idx="30">
                  <c:v>-0.15</c:v>
                </c:pt>
                <c:pt idx="31">
                  <c:v>-0.15</c:v>
                </c:pt>
                <c:pt idx="32">
                  <c:v>-0.15</c:v>
                </c:pt>
                <c:pt idx="33">
                  <c:v>-0.15</c:v>
                </c:pt>
                <c:pt idx="34">
                  <c:v>-0.15</c:v>
                </c:pt>
                <c:pt idx="35">
                  <c:v>-0.15</c:v>
                </c:pt>
                <c:pt idx="36">
                  <c:v>-0.15</c:v>
                </c:pt>
                <c:pt idx="37">
                  <c:v>-0.15</c:v>
                </c:pt>
                <c:pt idx="38">
                  <c:v>-0.15</c:v>
                </c:pt>
                <c:pt idx="39">
                  <c:v>-0.15</c:v>
                </c:pt>
                <c:pt idx="40">
                  <c:v>-0.15</c:v>
                </c:pt>
                <c:pt idx="41">
                  <c:v>-0.15</c:v>
                </c:pt>
                <c:pt idx="42">
                  <c:v>-0.15</c:v>
                </c:pt>
                <c:pt idx="43">
                  <c:v>-0.15</c:v>
                </c:pt>
                <c:pt idx="44">
                  <c:v>-0.15</c:v>
                </c:pt>
                <c:pt idx="45">
                  <c:v>-0.15</c:v>
                </c:pt>
                <c:pt idx="46">
                  <c:v>-4.0489233924126893E-2</c:v>
                </c:pt>
                <c:pt idx="47">
                  <c:v>6.0597627068993458E-2</c:v>
                </c:pt>
                <c:pt idx="48">
                  <c:v>6.0597627068989822E-2</c:v>
                </c:pt>
                <c:pt idx="49">
                  <c:v>6.0597627068989822E-2</c:v>
                </c:pt>
                <c:pt idx="50">
                  <c:v>6.0597627068993458E-2</c:v>
                </c:pt>
                <c:pt idx="51">
                  <c:v>6.0597627068989822E-2</c:v>
                </c:pt>
                <c:pt idx="52">
                  <c:v>6.0597627068989822E-2</c:v>
                </c:pt>
                <c:pt idx="53">
                  <c:v>6.0597627068993458E-2</c:v>
                </c:pt>
                <c:pt idx="54">
                  <c:v>6.0597627068986186E-2</c:v>
                </c:pt>
                <c:pt idx="55">
                  <c:v>6.0597627068993458E-2</c:v>
                </c:pt>
                <c:pt idx="56">
                  <c:v>6.0597627068989822E-2</c:v>
                </c:pt>
                <c:pt idx="57">
                  <c:v>6.0597627068989822E-2</c:v>
                </c:pt>
                <c:pt idx="58">
                  <c:v>6.0597627068993458E-2</c:v>
                </c:pt>
                <c:pt idx="59">
                  <c:v>6.0597627068989822E-2</c:v>
                </c:pt>
                <c:pt idx="60">
                  <c:v>6.0597627068989822E-2</c:v>
                </c:pt>
                <c:pt idx="61">
                  <c:v>6.0597627068993458E-2</c:v>
                </c:pt>
                <c:pt idx="62">
                  <c:v>6.0597627068989822E-2</c:v>
                </c:pt>
                <c:pt idx="63">
                  <c:v>6.0597627068989822E-2</c:v>
                </c:pt>
                <c:pt idx="64">
                  <c:v>6.0597627068993458E-2</c:v>
                </c:pt>
                <c:pt idx="65">
                  <c:v>6.0597627068989822E-2</c:v>
                </c:pt>
                <c:pt idx="66">
                  <c:v>6.0597627068989822E-2</c:v>
                </c:pt>
                <c:pt idx="67">
                  <c:v>6.0597627068989822E-2</c:v>
                </c:pt>
                <c:pt idx="68">
                  <c:v>6.0597627068989822E-2</c:v>
                </c:pt>
                <c:pt idx="69">
                  <c:v>6.0597627068993458E-2</c:v>
                </c:pt>
                <c:pt idx="70">
                  <c:v>6.0597627068989822E-2</c:v>
                </c:pt>
                <c:pt idx="71">
                  <c:v>0.11059762706898982</c:v>
                </c:pt>
                <c:pt idx="72">
                  <c:v>0.21059762706899346</c:v>
                </c:pt>
                <c:pt idx="73">
                  <c:v>0.21059762706898982</c:v>
                </c:pt>
                <c:pt idx="74">
                  <c:v>0.21059762706898982</c:v>
                </c:pt>
                <c:pt idx="75">
                  <c:v>0.21059762706898982</c:v>
                </c:pt>
                <c:pt idx="76">
                  <c:v>0.21059762706899166</c:v>
                </c:pt>
                <c:pt idx="77">
                  <c:v>0.21059762706899166</c:v>
                </c:pt>
                <c:pt idx="78">
                  <c:v>0.21059762706898982</c:v>
                </c:pt>
                <c:pt idx="79">
                  <c:v>0.21059762706899166</c:v>
                </c:pt>
                <c:pt idx="80">
                  <c:v>0.22059762706899164</c:v>
                </c:pt>
                <c:pt idx="81">
                  <c:v>0.3105976270689898</c:v>
                </c:pt>
                <c:pt idx="82">
                  <c:v>0.3105976270689898</c:v>
                </c:pt>
                <c:pt idx="83">
                  <c:v>0.31059762706899163</c:v>
                </c:pt>
                <c:pt idx="84">
                  <c:v>0.31059762706899163</c:v>
                </c:pt>
                <c:pt idx="85">
                  <c:v>0.3105976270689898</c:v>
                </c:pt>
                <c:pt idx="86">
                  <c:v>0.31059762706899163</c:v>
                </c:pt>
                <c:pt idx="87">
                  <c:v>0.3105976270689898</c:v>
                </c:pt>
                <c:pt idx="88">
                  <c:v>0.31059762706899163</c:v>
                </c:pt>
                <c:pt idx="89">
                  <c:v>0.3105976270689898</c:v>
                </c:pt>
                <c:pt idx="90">
                  <c:v>0.31059762706899163</c:v>
                </c:pt>
                <c:pt idx="91">
                  <c:v>0.3105976270689898</c:v>
                </c:pt>
                <c:pt idx="92">
                  <c:v>0.31059762706899163</c:v>
                </c:pt>
                <c:pt idx="93">
                  <c:v>0.3105976270689898</c:v>
                </c:pt>
                <c:pt idx="94">
                  <c:v>0.31059762706899163</c:v>
                </c:pt>
                <c:pt idx="95">
                  <c:v>0.3105976270689898</c:v>
                </c:pt>
                <c:pt idx="96">
                  <c:v>0.31059762706899163</c:v>
                </c:pt>
                <c:pt idx="97">
                  <c:v>0.3105976270689898</c:v>
                </c:pt>
                <c:pt idx="98">
                  <c:v>0.31059762706899163</c:v>
                </c:pt>
                <c:pt idx="99">
                  <c:v>0.3105976270689898</c:v>
                </c:pt>
                <c:pt idx="100">
                  <c:v>0.31059762706899163</c:v>
                </c:pt>
                <c:pt idx="101">
                  <c:v>0.31059762706899163</c:v>
                </c:pt>
                <c:pt idx="102">
                  <c:v>0.3105976270689898</c:v>
                </c:pt>
                <c:pt idx="103">
                  <c:v>0.31059762706899163</c:v>
                </c:pt>
                <c:pt idx="104">
                  <c:v>0.3105976270689898</c:v>
                </c:pt>
                <c:pt idx="105">
                  <c:v>0.31059762706899163</c:v>
                </c:pt>
                <c:pt idx="106">
                  <c:v>0.10322923685366732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0.15</c:v>
                </c:pt>
                <c:pt idx="119">
                  <c:v>0.15</c:v>
                </c:pt>
                <c:pt idx="120">
                  <c:v>0.15</c:v>
                </c:pt>
                <c:pt idx="121">
                  <c:v>0.15</c:v>
                </c:pt>
                <c:pt idx="122">
                  <c:v>0.15</c:v>
                </c:pt>
                <c:pt idx="123">
                  <c:v>0.15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0.15</c:v>
                </c:pt>
                <c:pt idx="157">
                  <c:v>0.15</c:v>
                </c:pt>
                <c:pt idx="158">
                  <c:v>0.15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0.15</c:v>
                </c:pt>
                <c:pt idx="164">
                  <c:v>0.15</c:v>
                </c:pt>
                <c:pt idx="165">
                  <c:v>0.15</c:v>
                </c:pt>
                <c:pt idx="166">
                  <c:v>0.15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0.15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0.15</c:v>
                </c:pt>
                <c:pt idx="178">
                  <c:v>0.15</c:v>
                </c:pt>
                <c:pt idx="179">
                  <c:v>0.15</c:v>
                </c:pt>
                <c:pt idx="180">
                  <c:v>0.15</c:v>
                </c:pt>
                <c:pt idx="181">
                  <c:v>0.15</c:v>
                </c:pt>
                <c:pt idx="182">
                  <c:v>0.15</c:v>
                </c:pt>
                <c:pt idx="183">
                  <c:v>0.15</c:v>
                </c:pt>
                <c:pt idx="184">
                  <c:v>0.15</c:v>
                </c:pt>
                <c:pt idx="185">
                  <c:v>0.15</c:v>
                </c:pt>
                <c:pt idx="186">
                  <c:v>0.15</c:v>
                </c:pt>
                <c:pt idx="187">
                  <c:v>0.15</c:v>
                </c:pt>
                <c:pt idx="188">
                  <c:v>0.15</c:v>
                </c:pt>
                <c:pt idx="189">
                  <c:v>0.15</c:v>
                </c:pt>
                <c:pt idx="190">
                  <c:v>0.15</c:v>
                </c:pt>
                <c:pt idx="191">
                  <c:v>0.15</c:v>
                </c:pt>
                <c:pt idx="192">
                  <c:v>0.15</c:v>
                </c:pt>
                <c:pt idx="193">
                  <c:v>0.15</c:v>
                </c:pt>
                <c:pt idx="194">
                  <c:v>0.15</c:v>
                </c:pt>
                <c:pt idx="195">
                  <c:v>0.15</c:v>
                </c:pt>
                <c:pt idx="196">
                  <c:v>0.15</c:v>
                </c:pt>
                <c:pt idx="197">
                  <c:v>0.15</c:v>
                </c:pt>
                <c:pt idx="198">
                  <c:v>0.15</c:v>
                </c:pt>
                <c:pt idx="199">
                  <c:v>0.15</c:v>
                </c:pt>
                <c:pt idx="200">
                  <c:v>0.15</c:v>
                </c:pt>
                <c:pt idx="201">
                  <c:v>0.15</c:v>
                </c:pt>
                <c:pt idx="202">
                  <c:v>0.15</c:v>
                </c:pt>
                <c:pt idx="203">
                  <c:v>0.15</c:v>
                </c:pt>
                <c:pt idx="204">
                  <c:v>0.15</c:v>
                </c:pt>
                <c:pt idx="205">
                  <c:v>0.15</c:v>
                </c:pt>
                <c:pt idx="206">
                  <c:v>0.15</c:v>
                </c:pt>
                <c:pt idx="207">
                  <c:v>0.15</c:v>
                </c:pt>
                <c:pt idx="208">
                  <c:v>0.15</c:v>
                </c:pt>
                <c:pt idx="209">
                  <c:v>0.15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0.15</c:v>
                </c:pt>
                <c:pt idx="214">
                  <c:v>0.15</c:v>
                </c:pt>
                <c:pt idx="215">
                  <c:v>0.15</c:v>
                </c:pt>
                <c:pt idx="216">
                  <c:v>0.15</c:v>
                </c:pt>
                <c:pt idx="217">
                  <c:v>0.15</c:v>
                </c:pt>
                <c:pt idx="218">
                  <c:v>0.15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0.25</c:v>
                </c:pt>
                <c:pt idx="232">
                  <c:v>0.3</c:v>
                </c:pt>
                <c:pt idx="233">
                  <c:v>0.3</c:v>
                </c:pt>
                <c:pt idx="234">
                  <c:v>0.3</c:v>
                </c:pt>
                <c:pt idx="235">
                  <c:v>0.3</c:v>
                </c:pt>
                <c:pt idx="236">
                  <c:v>0.3</c:v>
                </c:pt>
                <c:pt idx="237">
                  <c:v>0.3</c:v>
                </c:pt>
                <c:pt idx="238">
                  <c:v>0.3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0.3</c:v>
                </c:pt>
                <c:pt idx="246">
                  <c:v>0.3</c:v>
                </c:pt>
                <c:pt idx="247">
                  <c:v>0.3</c:v>
                </c:pt>
                <c:pt idx="248">
                  <c:v>0.3</c:v>
                </c:pt>
                <c:pt idx="249">
                  <c:v>0.3</c:v>
                </c:pt>
                <c:pt idx="250">
                  <c:v>0.3</c:v>
                </c:pt>
                <c:pt idx="251">
                  <c:v>0.3</c:v>
                </c:pt>
                <c:pt idx="252">
                  <c:v>0.3</c:v>
                </c:pt>
                <c:pt idx="253">
                  <c:v>0.3</c:v>
                </c:pt>
                <c:pt idx="254">
                  <c:v>0.3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0.3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0.3</c:v>
                </c:pt>
                <c:pt idx="266">
                  <c:v>0.3</c:v>
                </c:pt>
                <c:pt idx="267">
                  <c:v>0.3</c:v>
                </c:pt>
                <c:pt idx="268">
                  <c:v>0.3</c:v>
                </c:pt>
                <c:pt idx="269">
                  <c:v>0.3</c:v>
                </c:pt>
                <c:pt idx="270">
                  <c:v>0.3</c:v>
                </c:pt>
                <c:pt idx="271">
                  <c:v>0.3</c:v>
                </c:pt>
                <c:pt idx="272">
                  <c:v>0.3</c:v>
                </c:pt>
                <c:pt idx="273">
                  <c:v>0.3</c:v>
                </c:pt>
                <c:pt idx="274">
                  <c:v>0.3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0.3</c:v>
                </c:pt>
                <c:pt idx="284">
                  <c:v>0.3</c:v>
                </c:pt>
                <c:pt idx="285">
                  <c:v>0.3</c:v>
                </c:pt>
                <c:pt idx="286">
                  <c:v>0.3</c:v>
                </c:pt>
                <c:pt idx="287">
                  <c:v>0.3</c:v>
                </c:pt>
                <c:pt idx="288">
                  <c:v>0.3</c:v>
                </c:pt>
                <c:pt idx="289">
                  <c:v>0.3</c:v>
                </c:pt>
                <c:pt idx="290">
                  <c:v>0.3</c:v>
                </c:pt>
                <c:pt idx="291">
                  <c:v>0.3</c:v>
                </c:pt>
                <c:pt idx="292">
                  <c:v>0.3</c:v>
                </c:pt>
                <c:pt idx="293">
                  <c:v>0.3</c:v>
                </c:pt>
                <c:pt idx="294">
                  <c:v>0.3</c:v>
                </c:pt>
                <c:pt idx="295">
                  <c:v>0.3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0.3</c:v>
                </c:pt>
                <c:pt idx="300">
                  <c:v>0.3</c:v>
                </c:pt>
                <c:pt idx="301">
                  <c:v>0.3</c:v>
                </c:pt>
                <c:pt idx="302">
                  <c:v>0.3</c:v>
                </c:pt>
                <c:pt idx="303">
                  <c:v>0.3</c:v>
                </c:pt>
                <c:pt idx="304">
                  <c:v>0.3</c:v>
                </c:pt>
                <c:pt idx="305">
                  <c:v>0.3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0.3</c:v>
                </c:pt>
                <c:pt idx="310">
                  <c:v>0.3</c:v>
                </c:pt>
                <c:pt idx="311">
                  <c:v>0.3</c:v>
                </c:pt>
                <c:pt idx="312">
                  <c:v>0.3</c:v>
                </c:pt>
                <c:pt idx="313">
                  <c:v>0.3</c:v>
                </c:pt>
                <c:pt idx="314">
                  <c:v>0.3</c:v>
                </c:pt>
                <c:pt idx="315">
                  <c:v>0.3</c:v>
                </c:pt>
                <c:pt idx="316">
                  <c:v>0.3</c:v>
                </c:pt>
                <c:pt idx="317">
                  <c:v>0.3</c:v>
                </c:pt>
                <c:pt idx="318">
                  <c:v>0.3</c:v>
                </c:pt>
                <c:pt idx="319">
                  <c:v>0.3</c:v>
                </c:pt>
                <c:pt idx="320">
                  <c:v>0.3</c:v>
                </c:pt>
                <c:pt idx="321">
                  <c:v>0.3</c:v>
                </c:pt>
                <c:pt idx="322">
                  <c:v>0.3</c:v>
                </c:pt>
                <c:pt idx="323">
                  <c:v>0.3</c:v>
                </c:pt>
                <c:pt idx="324">
                  <c:v>0.3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0.3</c:v>
                </c:pt>
                <c:pt idx="330">
                  <c:v>0.3</c:v>
                </c:pt>
                <c:pt idx="331">
                  <c:v>0.3</c:v>
                </c:pt>
                <c:pt idx="332">
                  <c:v>0.3</c:v>
                </c:pt>
                <c:pt idx="333">
                  <c:v>0.3</c:v>
                </c:pt>
                <c:pt idx="334">
                  <c:v>0.3</c:v>
                </c:pt>
                <c:pt idx="335">
                  <c:v>0.3</c:v>
                </c:pt>
                <c:pt idx="336">
                  <c:v>0.3</c:v>
                </c:pt>
                <c:pt idx="337">
                  <c:v>0.3</c:v>
                </c:pt>
                <c:pt idx="338">
                  <c:v>0.3</c:v>
                </c:pt>
                <c:pt idx="339">
                  <c:v>0.3</c:v>
                </c:pt>
                <c:pt idx="340">
                  <c:v>0.3</c:v>
                </c:pt>
                <c:pt idx="341">
                  <c:v>0.3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0.3</c:v>
                </c:pt>
                <c:pt idx="346">
                  <c:v>0.3</c:v>
                </c:pt>
                <c:pt idx="347">
                  <c:v>0.3</c:v>
                </c:pt>
                <c:pt idx="348">
                  <c:v>0.3</c:v>
                </c:pt>
                <c:pt idx="349">
                  <c:v>0.3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0.3</c:v>
                </c:pt>
                <c:pt idx="358">
                  <c:v>0.35299999999999998</c:v>
                </c:pt>
                <c:pt idx="359">
                  <c:v>0.375</c:v>
                </c:pt>
                <c:pt idx="360">
                  <c:v>0.375</c:v>
                </c:pt>
                <c:pt idx="361">
                  <c:v>0.375</c:v>
                </c:pt>
                <c:pt idx="362">
                  <c:v>0.375</c:v>
                </c:pt>
                <c:pt idx="363">
                  <c:v>0.375</c:v>
                </c:pt>
                <c:pt idx="364">
                  <c:v>0.375</c:v>
                </c:pt>
                <c:pt idx="365">
                  <c:v>0.375</c:v>
                </c:pt>
                <c:pt idx="366">
                  <c:v>0.375</c:v>
                </c:pt>
                <c:pt idx="367">
                  <c:v>0.375</c:v>
                </c:pt>
                <c:pt idx="368">
                  <c:v>0.375</c:v>
                </c:pt>
                <c:pt idx="369">
                  <c:v>0.375</c:v>
                </c:pt>
                <c:pt idx="370">
                  <c:v>0.375</c:v>
                </c:pt>
                <c:pt idx="371">
                  <c:v>0.375</c:v>
                </c:pt>
                <c:pt idx="372">
                  <c:v>0.375</c:v>
                </c:pt>
                <c:pt idx="373">
                  <c:v>0.375</c:v>
                </c:pt>
                <c:pt idx="374">
                  <c:v>0.375</c:v>
                </c:pt>
                <c:pt idx="375">
                  <c:v>0.375</c:v>
                </c:pt>
                <c:pt idx="376">
                  <c:v>0.375</c:v>
                </c:pt>
                <c:pt idx="377">
                  <c:v>0.375</c:v>
                </c:pt>
                <c:pt idx="378">
                  <c:v>0.375</c:v>
                </c:pt>
                <c:pt idx="379">
                  <c:v>0.375</c:v>
                </c:pt>
                <c:pt idx="380">
                  <c:v>0.375</c:v>
                </c:pt>
                <c:pt idx="381">
                  <c:v>0.375</c:v>
                </c:pt>
                <c:pt idx="382">
                  <c:v>0.375</c:v>
                </c:pt>
                <c:pt idx="383">
                  <c:v>0.375</c:v>
                </c:pt>
                <c:pt idx="384">
                  <c:v>0.375</c:v>
                </c:pt>
                <c:pt idx="385">
                  <c:v>0.375</c:v>
                </c:pt>
                <c:pt idx="386">
                  <c:v>0.375</c:v>
                </c:pt>
                <c:pt idx="387">
                  <c:v>0.375</c:v>
                </c:pt>
                <c:pt idx="388">
                  <c:v>0.375</c:v>
                </c:pt>
                <c:pt idx="389">
                  <c:v>0.375</c:v>
                </c:pt>
                <c:pt idx="390">
                  <c:v>0.375</c:v>
                </c:pt>
                <c:pt idx="391">
                  <c:v>0.375</c:v>
                </c:pt>
                <c:pt idx="392">
                  <c:v>0.375</c:v>
                </c:pt>
                <c:pt idx="393">
                  <c:v>0.375</c:v>
                </c:pt>
                <c:pt idx="394">
                  <c:v>0.375</c:v>
                </c:pt>
                <c:pt idx="395">
                  <c:v>0.375</c:v>
                </c:pt>
                <c:pt idx="396">
                  <c:v>0.375</c:v>
                </c:pt>
                <c:pt idx="397">
                  <c:v>0.375</c:v>
                </c:pt>
                <c:pt idx="398">
                  <c:v>0.375</c:v>
                </c:pt>
                <c:pt idx="399">
                  <c:v>0.375</c:v>
                </c:pt>
                <c:pt idx="400">
                  <c:v>0.375</c:v>
                </c:pt>
                <c:pt idx="401">
                  <c:v>0.375</c:v>
                </c:pt>
                <c:pt idx="402">
                  <c:v>0.375</c:v>
                </c:pt>
                <c:pt idx="403">
                  <c:v>0.375</c:v>
                </c:pt>
                <c:pt idx="404">
                  <c:v>0.375</c:v>
                </c:pt>
                <c:pt idx="405">
                  <c:v>0.375</c:v>
                </c:pt>
                <c:pt idx="406">
                  <c:v>0.375</c:v>
                </c:pt>
                <c:pt idx="407">
                  <c:v>0.375</c:v>
                </c:pt>
                <c:pt idx="408">
                  <c:v>0.375</c:v>
                </c:pt>
                <c:pt idx="409">
                  <c:v>0.375</c:v>
                </c:pt>
                <c:pt idx="410">
                  <c:v>0.375</c:v>
                </c:pt>
                <c:pt idx="411">
                  <c:v>0.375</c:v>
                </c:pt>
                <c:pt idx="412">
                  <c:v>0.375</c:v>
                </c:pt>
                <c:pt idx="413">
                  <c:v>0.375</c:v>
                </c:pt>
                <c:pt idx="414">
                  <c:v>0.375</c:v>
                </c:pt>
                <c:pt idx="415">
                  <c:v>0.375</c:v>
                </c:pt>
                <c:pt idx="416">
                  <c:v>0.375</c:v>
                </c:pt>
                <c:pt idx="417">
                  <c:v>0.375</c:v>
                </c:pt>
                <c:pt idx="418">
                  <c:v>0.375</c:v>
                </c:pt>
                <c:pt idx="419">
                  <c:v>0.32500000000000001</c:v>
                </c:pt>
                <c:pt idx="420">
                  <c:v>0.32500000000000001</c:v>
                </c:pt>
                <c:pt idx="421">
                  <c:v>0.32500000000000001</c:v>
                </c:pt>
                <c:pt idx="422">
                  <c:v>0.32500000000000001</c:v>
                </c:pt>
                <c:pt idx="423">
                  <c:v>0.32500000000000001</c:v>
                </c:pt>
                <c:pt idx="424">
                  <c:v>0.32500000000000001</c:v>
                </c:pt>
                <c:pt idx="425">
                  <c:v>0.32500000000000001</c:v>
                </c:pt>
                <c:pt idx="426">
                  <c:v>0.32500000000000001</c:v>
                </c:pt>
                <c:pt idx="427">
                  <c:v>0.32500000000000001</c:v>
                </c:pt>
                <c:pt idx="428">
                  <c:v>0.32500000000000001</c:v>
                </c:pt>
                <c:pt idx="429">
                  <c:v>0.32500000000000001</c:v>
                </c:pt>
                <c:pt idx="430">
                  <c:v>0.32500000000000001</c:v>
                </c:pt>
                <c:pt idx="431">
                  <c:v>0.32500000000000001</c:v>
                </c:pt>
                <c:pt idx="432">
                  <c:v>0.32500000000000001</c:v>
                </c:pt>
                <c:pt idx="433">
                  <c:v>0.32500000000000001</c:v>
                </c:pt>
                <c:pt idx="434">
                  <c:v>0.32500000000000001</c:v>
                </c:pt>
                <c:pt idx="435">
                  <c:v>0.32500000000000001</c:v>
                </c:pt>
                <c:pt idx="436">
                  <c:v>0.32500000000000001</c:v>
                </c:pt>
                <c:pt idx="437">
                  <c:v>0.32500000000000001</c:v>
                </c:pt>
                <c:pt idx="438">
                  <c:v>0.32500000000000001</c:v>
                </c:pt>
                <c:pt idx="439">
                  <c:v>0.32500000000000001</c:v>
                </c:pt>
                <c:pt idx="440">
                  <c:v>0.32500000000000001</c:v>
                </c:pt>
                <c:pt idx="441">
                  <c:v>0.32500000000000001</c:v>
                </c:pt>
                <c:pt idx="442">
                  <c:v>0.32500000000000001</c:v>
                </c:pt>
                <c:pt idx="443">
                  <c:v>0.32500000000000001</c:v>
                </c:pt>
                <c:pt idx="444">
                  <c:v>0.32500000000000001</c:v>
                </c:pt>
                <c:pt idx="445">
                  <c:v>0.32500000000000001</c:v>
                </c:pt>
                <c:pt idx="446">
                  <c:v>0.32500000000000001</c:v>
                </c:pt>
                <c:pt idx="447">
                  <c:v>0.32500000000000001</c:v>
                </c:pt>
                <c:pt idx="448">
                  <c:v>0.32500000000000001</c:v>
                </c:pt>
                <c:pt idx="449">
                  <c:v>0.32500000000000001</c:v>
                </c:pt>
                <c:pt idx="450">
                  <c:v>0.32500000000000001</c:v>
                </c:pt>
                <c:pt idx="451">
                  <c:v>0.32500000000000001</c:v>
                </c:pt>
                <c:pt idx="452">
                  <c:v>0.32500000000000001</c:v>
                </c:pt>
                <c:pt idx="453">
                  <c:v>0.32500000000000001</c:v>
                </c:pt>
                <c:pt idx="454">
                  <c:v>0.32500000000000001</c:v>
                </c:pt>
                <c:pt idx="455">
                  <c:v>0.32500000000000001</c:v>
                </c:pt>
                <c:pt idx="456">
                  <c:v>0.32500000000000001</c:v>
                </c:pt>
                <c:pt idx="457">
                  <c:v>0.32500000000000001</c:v>
                </c:pt>
                <c:pt idx="458">
                  <c:v>0.32500000000000001</c:v>
                </c:pt>
                <c:pt idx="459">
                  <c:v>0.32500000000000001</c:v>
                </c:pt>
                <c:pt idx="460">
                  <c:v>0.32500000000000001</c:v>
                </c:pt>
                <c:pt idx="461">
                  <c:v>0.32500000000000001</c:v>
                </c:pt>
                <c:pt idx="462">
                  <c:v>0.32500000000000001</c:v>
                </c:pt>
                <c:pt idx="463">
                  <c:v>0.32500000000000001</c:v>
                </c:pt>
                <c:pt idx="464">
                  <c:v>0.32500000000000001</c:v>
                </c:pt>
                <c:pt idx="465">
                  <c:v>0.32500000000000001</c:v>
                </c:pt>
                <c:pt idx="466">
                  <c:v>0.32500000000000001</c:v>
                </c:pt>
                <c:pt idx="467">
                  <c:v>0.32500000000000001</c:v>
                </c:pt>
                <c:pt idx="468">
                  <c:v>0.32500000000000001</c:v>
                </c:pt>
                <c:pt idx="469">
                  <c:v>0.32500000000000001</c:v>
                </c:pt>
                <c:pt idx="470">
                  <c:v>0.32500000000000001</c:v>
                </c:pt>
                <c:pt idx="471">
                  <c:v>0.32500000000000001</c:v>
                </c:pt>
                <c:pt idx="472">
                  <c:v>0.32500000000000001</c:v>
                </c:pt>
                <c:pt idx="473">
                  <c:v>0.32500000000000001</c:v>
                </c:pt>
                <c:pt idx="474">
                  <c:v>0.32500000000000001</c:v>
                </c:pt>
                <c:pt idx="475">
                  <c:v>0.32500000000000001</c:v>
                </c:pt>
                <c:pt idx="476">
                  <c:v>0.32500000000000001</c:v>
                </c:pt>
                <c:pt idx="477">
                  <c:v>0.32500000000000001</c:v>
                </c:pt>
                <c:pt idx="478">
                  <c:v>0.32500000000000001</c:v>
                </c:pt>
                <c:pt idx="479">
                  <c:v>0.32500000000000001</c:v>
                </c:pt>
                <c:pt idx="480">
                  <c:v>0.32500000000000001</c:v>
                </c:pt>
                <c:pt idx="481">
                  <c:v>0.32500000000000001</c:v>
                </c:pt>
                <c:pt idx="482">
                  <c:v>0.32500000000000001</c:v>
                </c:pt>
                <c:pt idx="483">
                  <c:v>0.32500000000000001</c:v>
                </c:pt>
                <c:pt idx="484">
                  <c:v>0.32500000000000001</c:v>
                </c:pt>
                <c:pt idx="485">
                  <c:v>0.32500000000000001</c:v>
                </c:pt>
                <c:pt idx="486">
                  <c:v>0.32500000000000001</c:v>
                </c:pt>
                <c:pt idx="487">
                  <c:v>0.32500000000000001</c:v>
                </c:pt>
                <c:pt idx="488">
                  <c:v>0.32500000000000001</c:v>
                </c:pt>
                <c:pt idx="489">
                  <c:v>0.32500000000000001</c:v>
                </c:pt>
                <c:pt idx="490">
                  <c:v>0.32500000000000001</c:v>
                </c:pt>
                <c:pt idx="491">
                  <c:v>0.32500000000000001</c:v>
                </c:pt>
                <c:pt idx="492">
                  <c:v>0.32500000000000001</c:v>
                </c:pt>
                <c:pt idx="493">
                  <c:v>0.32500000000000001</c:v>
                </c:pt>
                <c:pt idx="494">
                  <c:v>0.32500000000000001</c:v>
                </c:pt>
                <c:pt idx="495">
                  <c:v>0.34899999999999998</c:v>
                </c:pt>
                <c:pt idx="496">
                  <c:v>0.35</c:v>
                </c:pt>
                <c:pt idx="497">
                  <c:v>0.35</c:v>
                </c:pt>
                <c:pt idx="498">
                  <c:v>0.35</c:v>
                </c:pt>
                <c:pt idx="499">
                  <c:v>0.35899999999999999</c:v>
                </c:pt>
                <c:pt idx="500">
                  <c:v>0.35899999999999999</c:v>
                </c:pt>
                <c:pt idx="501">
                  <c:v>0.35899999999999999</c:v>
                </c:pt>
                <c:pt idx="502">
                  <c:v>0.35899999999999999</c:v>
                </c:pt>
                <c:pt idx="503">
                  <c:v>0.35899999999999999</c:v>
                </c:pt>
                <c:pt idx="504">
                  <c:v>0.35899999999999999</c:v>
                </c:pt>
                <c:pt idx="505">
                  <c:v>0.35899999999999999</c:v>
                </c:pt>
                <c:pt idx="506">
                  <c:v>0.35899999999999999</c:v>
                </c:pt>
                <c:pt idx="507">
                  <c:v>0.35899999999999999</c:v>
                </c:pt>
                <c:pt idx="508">
                  <c:v>0.35899999999999999</c:v>
                </c:pt>
                <c:pt idx="509">
                  <c:v>0.35899999999999999</c:v>
                </c:pt>
                <c:pt idx="510">
                  <c:v>0.35899999999999999</c:v>
                </c:pt>
                <c:pt idx="511">
                  <c:v>0.35899999999999999</c:v>
                </c:pt>
                <c:pt idx="512">
                  <c:v>0.35899999999999999</c:v>
                </c:pt>
                <c:pt idx="513">
                  <c:v>0.35899999999999999</c:v>
                </c:pt>
                <c:pt idx="514">
                  <c:v>0.35899999999999999</c:v>
                </c:pt>
                <c:pt idx="515">
                  <c:v>0.35899999999999999</c:v>
                </c:pt>
                <c:pt idx="516">
                  <c:v>0.35899999999999999</c:v>
                </c:pt>
                <c:pt idx="517">
                  <c:v>0.35899999999999999</c:v>
                </c:pt>
                <c:pt idx="518">
                  <c:v>0.35899999999999999</c:v>
                </c:pt>
                <c:pt idx="519">
                  <c:v>0.35899999999999999</c:v>
                </c:pt>
                <c:pt idx="520">
                  <c:v>0.35899999999999999</c:v>
                </c:pt>
                <c:pt idx="521">
                  <c:v>0.35899999999999999</c:v>
                </c:pt>
                <c:pt idx="522">
                  <c:v>0.35899999999999999</c:v>
                </c:pt>
                <c:pt idx="523">
                  <c:v>0.35899999999999999</c:v>
                </c:pt>
                <c:pt idx="524">
                  <c:v>0.35899999999999999</c:v>
                </c:pt>
                <c:pt idx="525">
                  <c:v>0.35899999999999999</c:v>
                </c:pt>
                <c:pt idx="526">
                  <c:v>0.35899999999999999</c:v>
                </c:pt>
                <c:pt idx="527">
                  <c:v>0.35899999999999999</c:v>
                </c:pt>
                <c:pt idx="528">
                  <c:v>0.35899999999999999</c:v>
                </c:pt>
                <c:pt idx="529">
                  <c:v>0.35899999999999999</c:v>
                </c:pt>
                <c:pt idx="530">
                  <c:v>0.35899999999999999</c:v>
                </c:pt>
                <c:pt idx="531">
                  <c:v>0.35899999999999999</c:v>
                </c:pt>
                <c:pt idx="532">
                  <c:v>0.35899999999999999</c:v>
                </c:pt>
                <c:pt idx="533">
                  <c:v>0.35899999999999999</c:v>
                </c:pt>
                <c:pt idx="534">
                  <c:v>0.35899999999999999</c:v>
                </c:pt>
                <c:pt idx="535">
                  <c:v>0.35899999999999999</c:v>
                </c:pt>
                <c:pt idx="536">
                  <c:v>0.35899999999999999</c:v>
                </c:pt>
                <c:pt idx="537">
                  <c:v>0.35899999999999999</c:v>
                </c:pt>
                <c:pt idx="538">
                  <c:v>0.35899999999999999</c:v>
                </c:pt>
                <c:pt idx="539">
                  <c:v>0.35899999999999999</c:v>
                </c:pt>
                <c:pt idx="540">
                  <c:v>0.35899999999999999</c:v>
                </c:pt>
                <c:pt idx="541">
                  <c:v>0.35899999999999999</c:v>
                </c:pt>
                <c:pt idx="542">
                  <c:v>0.35899999999999999</c:v>
                </c:pt>
                <c:pt idx="543">
                  <c:v>0.35899999999999999</c:v>
                </c:pt>
                <c:pt idx="544">
                  <c:v>0.35899999999999999</c:v>
                </c:pt>
                <c:pt idx="545">
                  <c:v>0.35899999999999999</c:v>
                </c:pt>
                <c:pt idx="546">
                  <c:v>0.35899999999999999</c:v>
                </c:pt>
                <c:pt idx="547">
                  <c:v>0.35899999999999999</c:v>
                </c:pt>
                <c:pt idx="548">
                  <c:v>0.35899999999999999</c:v>
                </c:pt>
                <c:pt idx="549">
                  <c:v>0.35899999999999999</c:v>
                </c:pt>
                <c:pt idx="550">
                  <c:v>0.35899999999999999</c:v>
                </c:pt>
                <c:pt idx="551">
                  <c:v>0.35899999999999999</c:v>
                </c:pt>
                <c:pt idx="552">
                  <c:v>0.35899999999999999</c:v>
                </c:pt>
                <c:pt idx="553">
                  <c:v>0.35899999999999999</c:v>
                </c:pt>
                <c:pt idx="554">
                  <c:v>0.35899999999999999</c:v>
                </c:pt>
                <c:pt idx="555">
                  <c:v>0.35899999999999999</c:v>
                </c:pt>
                <c:pt idx="556">
                  <c:v>0.35899999999999999</c:v>
                </c:pt>
                <c:pt idx="557">
                  <c:v>0.35899999999999999</c:v>
                </c:pt>
                <c:pt idx="558">
                  <c:v>0.35899999999999999</c:v>
                </c:pt>
                <c:pt idx="559">
                  <c:v>0.35899999999999999</c:v>
                </c:pt>
                <c:pt idx="560">
                  <c:v>0.35899999999999999</c:v>
                </c:pt>
                <c:pt idx="561">
                  <c:v>0.35899999999999999</c:v>
                </c:pt>
                <c:pt idx="562">
                  <c:v>0.35899999999999999</c:v>
                </c:pt>
                <c:pt idx="563">
                  <c:v>0.35899999999999999</c:v>
                </c:pt>
                <c:pt idx="564">
                  <c:v>0.35899999999999999</c:v>
                </c:pt>
                <c:pt idx="565">
                  <c:v>0.35899999999999999</c:v>
                </c:pt>
                <c:pt idx="566">
                  <c:v>0.35899999999999999</c:v>
                </c:pt>
                <c:pt idx="567">
                  <c:v>0.35899999999999999</c:v>
                </c:pt>
                <c:pt idx="568">
                  <c:v>0.35899999999999999</c:v>
                </c:pt>
                <c:pt idx="569">
                  <c:v>0.35899999999999999</c:v>
                </c:pt>
                <c:pt idx="570">
                  <c:v>0.35899999999999999</c:v>
                </c:pt>
                <c:pt idx="571">
                  <c:v>0.35899999999999999</c:v>
                </c:pt>
                <c:pt idx="572">
                  <c:v>0.35899999999999999</c:v>
                </c:pt>
                <c:pt idx="573">
                  <c:v>0.35899999999999999</c:v>
                </c:pt>
                <c:pt idx="574">
                  <c:v>0.35899999999999999</c:v>
                </c:pt>
                <c:pt idx="575">
                  <c:v>0.35899999999999999</c:v>
                </c:pt>
                <c:pt idx="576">
                  <c:v>0.35899999999999999</c:v>
                </c:pt>
                <c:pt idx="577">
                  <c:v>0.35899999999999999</c:v>
                </c:pt>
                <c:pt idx="578">
                  <c:v>0.35899999999999999</c:v>
                </c:pt>
                <c:pt idx="579">
                  <c:v>0.35899999999999999</c:v>
                </c:pt>
                <c:pt idx="580">
                  <c:v>0.35899999999999999</c:v>
                </c:pt>
                <c:pt idx="581">
                  <c:v>0.35899999999999999</c:v>
                </c:pt>
                <c:pt idx="582">
                  <c:v>0.35899999999999999</c:v>
                </c:pt>
                <c:pt idx="583">
                  <c:v>0.35899999999999999</c:v>
                </c:pt>
                <c:pt idx="584">
                  <c:v>0.35899999999999999</c:v>
                </c:pt>
                <c:pt idx="585">
                  <c:v>0.35899999999999999</c:v>
                </c:pt>
                <c:pt idx="586">
                  <c:v>0.35899999999999999</c:v>
                </c:pt>
                <c:pt idx="587">
                  <c:v>0.35899999999999999</c:v>
                </c:pt>
                <c:pt idx="588">
                  <c:v>0.35899999999999999</c:v>
                </c:pt>
                <c:pt idx="589">
                  <c:v>0.35899999999999999</c:v>
                </c:pt>
                <c:pt idx="590">
                  <c:v>0.35899999999999999</c:v>
                </c:pt>
                <c:pt idx="591">
                  <c:v>0.35899999999999999</c:v>
                </c:pt>
                <c:pt idx="592">
                  <c:v>0.35899999999999999</c:v>
                </c:pt>
                <c:pt idx="593">
                  <c:v>0.35899999999999999</c:v>
                </c:pt>
                <c:pt idx="594">
                  <c:v>0.35899999999999999</c:v>
                </c:pt>
                <c:pt idx="595">
                  <c:v>0.35899999999999999</c:v>
                </c:pt>
                <c:pt idx="596">
                  <c:v>0.35899999999999999</c:v>
                </c:pt>
                <c:pt idx="597">
                  <c:v>0.35899999999999999</c:v>
                </c:pt>
                <c:pt idx="598">
                  <c:v>0.35899999999999999</c:v>
                </c:pt>
                <c:pt idx="599">
                  <c:v>0.35899999999999999</c:v>
                </c:pt>
                <c:pt idx="600">
                  <c:v>0.35899999999999999</c:v>
                </c:pt>
                <c:pt idx="601">
                  <c:v>0.35899999999999999</c:v>
                </c:pt>
                <c:pt idx="602">
                  <c:v>0.35899999999999999</c:v>
                </c:pt>
                <c:pt idx="603">
                  <c:v>0.35899999999999999</c:v>
                </c:pt>
                <c:pt idx="604">
                  <c:v>0.35899999999999999</c:v>
                </c:pt>
                <c:pt idx="605">
                  <c:v>0.35899999999999999</c:v>
                </c:pt>
                <c:pt idx="606">
                  <c:v>0.35899999999999999</c:v>
                </c:pt>
                <c:pt idx="607">
                  <c:v>0.35899999999999999</c:v>
                </c:pt>
                <c:pt idx="608">
                  <c:v>0.35899999999999999</c:v>
                </c:pt>
                <c:pt idx="609">
                  <c:v>0.35899999999999999</c:v>
                </c:pt>
                <c:pt idx="610">
                  <c:v>0.35899999999999999</c:v>
                </c:pt>
                <c:pt idx="611">
                  <c:v>0.35899999999999999</c:v>
                </c:pt>
                <c:pt idx="612">
                  <c:v>0.35899999999999999</c:v>
                </c:pt>
                <c:pt idx="613">
                  <c:v>0.35899999999999999</c:v>
                </c:pt>
                <c:pt idx="614">
                  <c:v>0.35899999999999999</c:v>
                </c:pt>
                <c:pt idx="615">
                  <c:v>0.35899999999999999</c:v>
                </c:pt>
                <c:pt idx="616">
                  <c:v>0.35899999999999999</c:v>
                </c:pt>
                <c:pt idx="617">
                  <c:v>0.35899999999999999</c:v>
                </c:pt>
                <c:pt idx="618">
                  <c:v>0.35899999999999999</c:v>
                </c:pt>
                <c:pt idx="619">
                  <c:v>0.35899999999999999</c:v>
                </c:pt>
                <c:pt idx="620">
                  <c:v>0.35899999999999999</c:v>
                </c:pt>
                <c:pt idx="621">
                  <c:v>0.35899999999999999</c:v>
                </c:pt>
                <c:pt idx="622">
                  <c:v>0.35899999999999999</c:v>
                </c:pt>
                <c:pt idx="623">
                  <c:v>0.35899999999999999</c:v>
                </c:pt>
                <c:pt idx="624">
                  <c:v>0.35899999999999999</c:v>
                </c:pt>
                <c:pt idx="625">
                  <c:v>0.35899999999999999</c:v>
                </c:pt>
                <c:pt idx="626">
                  <c:v>0.35899999999999999</c:v>
                </c:pt>
                <c:pt idx="627">
                  <c:v>0.35899999999999999</c:v>
                </c:pt>
                <c:pt idx="628">
                  <c:v>0.35899999999999999</c:v>
                </c:pt>
                <c:pt idx="629">
                  <c:v>0.35899999999999999</c:v>
                </c:pt>
                <c:pt idx="630">
                  <c:v>0.35899999999999999</c:v>
                </c:pt>
                <c:pt idx="631">
                  <c:v>0.35899999999999999</c:v>
                </c:pt>
                <c:pt idx="632">
                  <c:v>0.35899999999999999</c:v>
                </c:pt>
                <c:pt idx="633">
                  <c:v>0.35899999999999999</c:v>
                </c:pt>
                <c:pt idx="634">
                  <c:v>0.35899999999999999</c:v>
                </c:pt>
                <c:pt idx="635">
                  <c:v>0.35899999999999999</c:v>
                </c:pt>
                <c:pt idx="636">
                  <c:v>0.35899999999999999</c:v>
                </c:pt>
                <c:pt idx="637">
                  <c:v>0.35899999999999999</c:v>
                </c:pt>
                <c:pt idx="638">
                  <c:v>0.35899999999999999</c:v>
                </c:pt>
                <c:pt idx="639">
                  <c:v>0.35899999999999999</c:v>
                </c:pt>
                <c:pt idx="640">
                  <c:v>0.35899999999999999</c:v>
                </c:pt>
                <c:pt idx="641">
                  <c:v>0.35899999999999999</c:v>
                </c:pt>
                <c:pt idx="642">
                  <c:v>0.35899999999999999</c:v>
                </c:pt>
                <c:pt idx="643">
                  <c:v>0.35899999999999999</c:v>
                </c:pt>
                <c:pt idx="644">
                  <c:v>0.35899999999999999</c:v>
                </c:pt>
                <c:pt idx="645">
                  <c:v>0.35899999999999999</c:v>
                </c:pt>
                <c:pt idx="646">
                  <c:v>0.35899999999999999</c:v>
                </c:pt>
                <c:pt idx="647">
                  <c:v>0.35899999999999999</c:v>
                </c:pt>
                <c:pt idx="648">
                  <c:v>0.35899999999999999</c:v>
                </c:pt>
                <c:pt idx="649">
                  <c:v>0.35899999999999999</c:v>
                </c:pt>
                <c:pt idx="650">
                  <c:v>0.35899999999999999</c:v>
                </c:pt>
                <c:pt idx="651">
                  <c:v>0.35899999999999999</c:v>
                </c:pt>
                <c:pt idx="652">
                  <c:v>0.35899999999999999</c:v>
                </c:pt>
                <c:pt idx="653">
                  <c:v>0.35899999999999999</c:v>
                </c:pt>
                <c:pt idx="654">
                  <c:v>0.35899999999999999</c:v>
                </c:pt>
                <c:pt idx="655">
                  <c:v>0.35899999999999999</c:v>
                </c:pt>
                <c:pt idx="656">
                  <c:v>0.35899999999999999</c:v>
                </c:pt>
                <c:pt idx="657">
                  <c:v>0.35899999999999999</c:v>
                </c:pt>
                <c:pt idx="658">
                  <c:v>0.35899999999999999</c:v>
                </c:pt>
                <c:pt idx="659">
                  <c:v>0.35899999999999999</c:v>
                </c:pt>
                <c:pt idx="660">
                  <c:v>0.35899999999999999</c:v>
                </c:pt>
                <c:pt idx="661">
                  <c:v>0.35899999999999999</c:v>
                </c:pt>
                <c:pt idx="662">
                  <c:v>0.35899999999999999</c:v>
                </c:pt>
                <c:pt idx="663">
                  <c:v>0.35899999999999999</c:v>
                </c:pt>
                <c:pt idx="664">
                  <c:v>0.35899999999999999</c:v>
                </c:pt>
                <c:pt idx="665">
                  <c:v>0.35899999999999999</c:v>
                </c:pt>
                <c:pt idx="666">
                  <c:v>0.35899999999999999</c:v>
                </c:pt>
                <c:pt idx="667">
                  <c:v>0.35899999999999999</c:v>
                </c:pt>
                <c:pt idx="668">
                  <c:v>0.35899999999999999</c:v>
                </c:pt>
                <c:pt idx="669">
                  <c:v>0.35899999999999999</c:v>
                </c:pt>
                <c:pt idx="670">
                  <c:v>0.35899999999999999</c:v>
                </c:pt>
                <c:pt idx="671">
                  <c:v>0.35899999999999999</c:v>
                </c:pt>
                <c:pt idx="672">
                  <c:v>0.35899999999999999</c:v>
                </c:pt>
                <c:pt idx="673">
                  <c:v>0.35899999999999999</c:v>
                </c:pt>
                <c:pt idx="674">
                  <c:v>0.35899999999999999</c:v>
                </c:pt>
                <c:pt idx="675">
                  <c:v>0.35899999999999999</c:v>
                </c:pt>
                <c:pt idx="676">
                  <c:v>0.35899999999999999</c:v>
                </c:pt>
                <c:pt idx="677">
                  <c:v>0.35899999999999999</c:v>
                </c:pt>
                <c:pt idx="678">
                  <c:v>0.35899999999999999</c:v>
                </c:pt>
                <c:pt idx="679">
                  <c:v>0.35899999999999999</c:v>
                </c:pt>
                <c:pt idx="680">
                  <c:v>0.35899999999999999</c:v>
                </c:pt>
                <c:pt idx="681">
                  <c:v>0.35899999999999999</c:v>
                </c:pt>
                <c:pt idx="682">
                  <c:v>0.35899999999999999</c:v>
                </c:pt>
                <c:pt idx="683">
                  <c:v>0.35899999999999999</c:v>
                </c:pt>
                <c:pt idx="684">
                  <c:v>0.35899999999999999</c:v>
                </c:pt>
                <c:pt idx="685">
                  <c:v>0.35899999999999999</c:v>
                </c:pt>
                <c:pt idx="686">
                  <c:v>0.35899999999999999</c:v>
                </c:pt>
                <c:pt idx="687">
                  <c:v>0.35899999999999999</c:v>
                </c:pt>
                <c:pt idx="688">
                  <c:v>0.35899999999999999</c:v>
                </c:pt>
                <c:pt idx="689">
                  <c:v>0.35899999999999999</c:v>
                </c:pt>
                <c:pt idx="690">
                  <c:v>0.35899999999999999</c:v>
                </c:pt>
                <c:pt idx="691">
                  <c:v>0.35899999999999999</c:v>
                </c:pt>
                <c:pt idx="692">
                  <c:v>0.35899999999999999</c:v>
                </c:pt>
                <c:pt idx="693">
                  <c:v>0.35899999999999999</c:v>
                </c:pt>
                <c:pt idx="694">
                  <c:v>0.35899999999999999</c:v>
                </c:pt>
                <c:pt idx="695">
                  <c:v>0.35899999999999999</c:v>
                </c:pt>
                <c:pt idx="696">
                  <c:v>0.35899999999999999</c:v>
                </c:pt>
                <c:pt idx="697">
                  <c:v>0.35899999999999999</c:v>
                </c:pt>
                <c:pt idx="698">
                  <c:v>0.35899999999999999</c:v>
                </c:pt>
                <c:pt idx="699">
                  <c:v>0.35899999999999999</c:v>
                </c:pt>
                <c:pt idx="700">
                  <c:v>0.35899999999999999</c:v>
                </c:pt>
                <c:pt idx="701">
                  <c:v>0.35899999999999999</c:v>
                </c:pt>
                <c:pt idx="702">
                  <c:v>0.35899999999999999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17600"/>
        <c:axId val="11712768"/>
      </c:scatterChart>
      <c:valAx>
        <c:axId val="11615616"/>
        <c:scaling>
          <c:orientation val="minMax"/>
          <c:max val="6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Taxable</a:t>
                </a:r>
                <a:r>
                  <a:rPr lang="en-US" baseline="0"/>
                  <a:t> Wages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1697536"/>
        <c:crosses val="autoZero"/>
        <c:crossBetween val="midCat"/>
        <c:majorUnit val="10000"/>
      </c:valAx>
      <c:valAx>
        <c:axId val="11697536"/>
        <c:scaling>
          <c:orientation val="minMax"/>
          <c:max val="10000"/>
          <c:min val="-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Federal</a:t>
                </a:r>
                <a:r>
                  <a:rPr lang="en-US" baseline="0"/>
                  <a:t> Taxes Owed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1615616"/>
        <c:crosses val="autoZero"/>
        <c:crossBetween val="midCat"/>
      </c:valAx>
      <c:valAx>
        <c:axId val="11712768"/>
        <c:scaling>
          <c:orientation val="minMax"/>
          <c:max val="0.4"/>
          <c:min val="-0.7000000000000000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Effective Marginal</a:t>
                </a:r>
                <a:r>
                  <a:rPr lang="en-US" baseline="0"/>
                  <a:t> Tax Rate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8217600"/>
        <c:crosses val="max"/>
        <c:crossBetween val="midCat"/>
        <c:majorUnit val="0.1"/>
      </c:valAx>
      <c:valAx>
        <c:axId val="38217600"/>
        <c:scaling>
          <c:orientation val="minMax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11712768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Federal Taxes Owed (Left Axis)</c:v>
          </c:tx>
          <c:spPr>
            <a:ln w="63500"/>
          </c:spPr>
          <c:marker>
            <c:symbol val="none"/>
          </c:marker>
          <c:xVal>
            <c:numRef>
              <c:f>Sheet1!$B$38:$B$741</c:f>
              <c:numCache>
                <c:formatCode>"$"#,##0_);[Red]\("$"#,##0\)</c:formatCode>
                <c:ptCount val="70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  <c:pt idx="24">
                  <c:v>12500</c:v>
                </c:pt>
                <c:pt idx="25">
                  <c:v>13000</c:v>
                </c:pt>
                <c:pt idx="26">
                  <c:v>13500</c:v>
                </c:pt>
                <c:pt idx="27">
                  <c:v>14000</c:v>
                </c:pt>
                <c:pt idx="28">
                  <c:v>14500</c:v>
                </c:pt>
                <c:pt idx="29">
                  <c:v>15000</c:v>
                </c:pt>
                <c:pt idx="30">
                  <c:v>15500</c:v>
                </c:pt>
                <c:pt idx="31">
                  <c:v>16000</c:v>
                </c:pt>
                <c:pt idx="32">
                  <c:v>16500</c:v>
                </c:pt>
                <c:pt idx="33">
                  <c:v>17000</c:v>
                </c:pt>
                <c:pt idx="34">
                  <c:v>17500</c:v>
                </c:pt>
                <c:pt idx="35">
                  <c:v>18000</c:v>
                </c:pt>
                <c:pt idx="36">
                  <c:v>18500</c:v>
                </c:pt>
                <c:pt idx="37">
                  <c:v>19000</c:v>
                </c:pt>
                <c:pt idx="38">
                  <c:v>19500</c:v>
                </c:pt>
                <c:pt idx="39">
                  <c:v>20000</c:v>
                </c:pt>
                <c:pt idx="40">
                  <c:v>20500</c:v>
                </c:pt>
                <c:pt idx="41">
                  <c:v>21000</c:v>
                </c:pt>
                <c:pt idx="42">
                  <c:v>21500</c:v>
                </c:pt>
                <c:pt idx="43">
                  <c:v>22000</c:v>
                </c:pt>
                <c:pt idx="44">
                  <c:v>22500</c:v>
                </c:pt>
                <c:pt idx="45">
                  <c:v>23000</c:v>
                </c:pt>
                <c:pt idx="46">
                  <c:v>23500</c:v>
                </c:pt>
                <c:pt idx="47">
                  <c:v>24000</c:v>
                </c:pt>
                <c:pt idx="48">
                  <c:v>24500</c:v>
                </c:pt>
                <c:pt idx="49">
                  <c:v>25000</c:v>
                </c:pt>
                <c:pt idx="50">
                  <c:v>25500</c:v>
                </c:pt>
                <c:pt idx="51">
                  <c:v>26000</c:v>
                </c:pt>
                <c:pt idx="52">
                  <c:v>26500</c:v>
                </c:pt>
                <c:pt idx="53">
                  <c:v>27000</c:v>
                </c:pt>
                <c:pt idx="54">
                  <c:v>27500</c:v>
                </c:pt>
                <c:pt idx="55">
                  <c:v>28000</c:v>
                </c:pt>
                <c:pt idx="56">
                  <c:v>28500</c:v>
                </c:pt>
                <c:pt idx="57">
                  <c:v>29000</c:v>
                </c:pt>
                <c:pt idx="58">
                  <c:v>29500</c:v>
                </c:pt>
                <c:pt idx="59">
                  <c:v>30000</c:v>
                </c:pt>
                <c:pt idx="60">
                  <c:v>30500</c:v>
                </c:pt>
                <c:pt idx="61">
                  <c:v>31000</c:v>
                </c:pt>
                <c:pt idx="62">
                  <c:v>31500</c:v>
                </c:pt>
                <c:pt idx="63">
                  <c:v>32000</c:v>
                </c:pt>
                <c:pt idx="64">
                  <c:v>32500</c:v>
                </c:pt>
                <c:pt idx="65">
                  <c:v>33000</c:v>
                </c:pt>
                <c:pt idx="66">
                  <c:v>33500</c:v>
                </c:pt>
                <c:pt idx="67">
                  <c:v>34000</c:v>
                </c:pt>
                <c:pt idx="68">
                  <c:v>34500</c:v>
                </c:pt>
                <c:pt idx="69">
                  <c:v>35000</c:v>
                </c:pt>
                <c:pt idx="70">
                  <c:v>35500</c:v>
                </c:pt>
                <c:pt idx="71">
                  <c:v>36000</c:v>
                </c:pt>
                <c:pt idx="72">
                  <c:v>36500</c:v>
                </c:pt>
                <c:pt idx="73">
                  <c:v>37000</c:v>
                </c:pt>
                <c:pt idx="74">
                  <c:v>37500</c:v>
                </c:pt>
                <c:pt idx="75">
                  <c:v>38000</c:v>
                </c:pt>
                <c:pt idx="76">
                  <c:v>38500</c:v>
                </c:pt>
                <c:pt idx="77">
                  <c:v>39000</c:v>
                </c:pt>
                <c:pt idx="78">
                  <c:v>39500</c:v>
                </c:pt>
                <c:pt idx="79">
                  <c:v>40000</c:v>
                </c:pt>
                <c:pt idx="80">
                  <c:v>40500</c:v>
                </c:pt>
                <c:pt idx="81">
                  <c:v>41000</c:v>
                </c:pt>
                <c:pt idx="82">
                  <c:v>41500</c:v>
                </c:pt>
                <c:pt idx="83">
                  <c:v>42000</c:v>
                </c:pt>
                <c:pt idx="84">
                  <c:v>42500</c:v>
                </c:pt>
                <c:pt idx="85">
                  <c:v>43000</c:v>
                </c:pt>
                <c:pt idx="86">
                  <c:v>43500</c:v>
                </c:pt>
                <c:pt idx="87">
                  <c:v>44000</c:v>
                </c:pt>
                <c:pt idx="88">
                  <c:v>44500</c:v>
                </c:pt>
                <c:pt idx="89">
                  <c:v>45000</c:v>
                </c:pt>
                <c:pt idx="90">
                  <c:v>45500</c:v>
                </c:pt>
                <c:pt idx="91">
                  <c:v>46000</c:v>
                </c:pt>
                <c:pt idx="92">
                  <c:v>46500</c:v>
                </c:pt>
                <c:pt idx="93">
                  <c:v>47000</c:v>
                </c:pt>
                <c:pt idx="94">
                  <c:v>47500</c:v>
                </c:pt>
                <c:pt idx="95">
                  <c:v>48000</c:v>
                </c:pt>
                <c:pt idx="96">
                  <c:v>48500</c:v>
                </c:pt>
                <c:pt idx="97">
                  <c:v>49000</c:v>
                </c:pt>
                <c:pt idx="98">
                  <c:v>49500</c:v>
                </c:pt>
                <c:pt idx="99">
                  <c:v>50000</c:v>
                </c:pt>
                <c:pt idx="100">
                  <c:v>50500</c:v>
                </c:pt>
                <c:pt idx="101">
                  <c:v>51000</c:v>
                </c:pt>
                <c:pt idx="102">
                  <c:v>51500</c:v>
                </c:pt>
                <c:pt idx="103">
                  <c:v>52000</c:v>
                </c:pt>
                <c:pt idx="104">
                  <c:v>52500</c:v>
                </c:pt>
                <c:pt idx="105">
                  <c:v>53000</c:v>
                </c:pt>
                <c:pt idx="106">
                  <c:v>53500</c:v>
                </c:pt>
                <c:pt idx="107">
                  <c:v>54000</c:v>
                </c:pt>
                <c:pt idx="108">
                  <c:v>54500</c:v>
                </c:pt>
                <c:pt idx="109">
                  <c:v>55000</c:v>
                </c:pt>
                <c:pt idx="110">
                  <c:v>55500</c:v>
                </c:pt>
                <c:pt idx="111">
                  <c:v>56000</c:v>
                </c:pt>
                <c:pt idx="112">
                  <c:v>56500</c:v>
                </c:pt>
                <c:pt idx="113">
                  <c:v>57000</c:v>
                </c:pt>
                <c:pt idx="114">
                  <c:v>57500</c:v>
                </c:pt>
                <c:pt idx="115">
                  <c:v>58000</c:v>
                </c:pt>
                <c:pt idx="116">
                  <c:v>58500</c:v>
                </c:pt>
                <c:pt idx="117">
                  <c:v>59000</c:v>
                </c:pt>
                <c:pt idx="118">
                  <c:v>59500</c:v>
                </c:pt>
                <c:pt idx="119">
                  <c:v>60000</c:v>
                </c:pt>
                <c:pt idx="120">
                  <c:v>60500</c:v>
                </c:pt>
                <c:pt idx="121">
                  <c:v>61000</c:v>
                </c:pt>
                <c:pt idx="122">
                  <c:v>61500</c:v>
                </c:pt>
                <c:pt idx="123">
                  <c:v>62000</c:v>
                </c:pt>
                <c:pt idx="124">
                  <c:v>62500</c:v>
                </c:pt>
                <c:pt idx="125">
                  <c:v>63000</c:v>
                </c:pt>
                <c:pt idx="126">
                  <c:v>63500</c:v>
                </c:pt>
                <c:pt idx="127">
                  <c:v>64000</c:v>
                </c:pt>
                <c:pt idx="128">
                  <c:v>64500</c:v>
                </c:pt>
                <c:pt idx="129">
                  <c:v>65000</c:v>
                </c:pt>
                <c:pt idx="130">
                  <c:v>65500</c:v>
                </c:pt>
                <c:pt idx="131">
                  <c:v>66000</c:v>
                </c:pt>
                <c:pt idx="132">
                  <c:v>66500</c:v>
                </c:pt>
                <c:pt idx="133">
                  <c:v>67000</c:v>
                </c:pt>
                <c:pt idx="134">
                  <c:v>67500</c:v>
                </c:pt>
                <c:pt idx="135">
                  <c:v>68000</c:v>
                </c:pt>
                <c:pt idx="136">
                  <c:v>68500</c:v>
                </c:pt>
                <c:pt idx="137">
                  <c:v>69000</c:v>
                </c:pt>
                <c:pt idx="138">
                  <c:v>69500</c:v>
                </c:pt>
                <c:pt idx="139">
                  <c:v>70000</c:v>
                </c:pt>
                <c:pt idx="140">
                  <c:v>70500</c:v>
                </c:pt>
                <c:pt idx="141">
                  <c:v>71000</c:v>
                </c:pt>
                <c:pt idx="142">
                  <c:v>71500</c:v>
                </c:pt>
                <c:pt idx="143">
                  <c:v>72000</c:v>
                </c:pt>
                <c:pt idx="144">
                  <c:v>72500</c:v>
                </c:pt>
                <c:pt idx="145">
                  <c:v>73000</c:v>
                </c:pt>
                <c:pt idx="146">
                  <c:v>73500</c:v>
                </c:pt>
                <c:pt idx="147">
                  <c:v>74000</c:v>
                </c:pt>
                <c:pt idx="148">
                  <c:v>74500</c:v>
                </c:pt>
                <c:pt idx="149">
                  <c:v>75000</c:v>
                </c:pt>
                <c:pt idx="150">
                  <c:v>75500</c:v>
                </c:pt>
                <c:pt idx="151">
                  <c:v>76000</c:v>
                </c:pt>
                <c:pt idx="152">
                  <c:v>76500</c:v>
                </c:pt>
                <c:pt idx="153">
                  <c:v>77000</c:v>
                </c:pt>
                <c:pt idx="154">
                  <c:v>77500</c:v>
                </c:pt>
                <c:pt idx="155">
                  <c:v>78000</c:v>
                </c:pt>
                <c:pt idx="156">
                  <c:v>78500</c:v>
                </c:pt>
                <c:pt idx="157">
                  <c:v>79000</c:v>
                </c:pt>
                <c:pt idx="158">
                  <c:v>79500</c:v>
                </c:pt>
                <c:pt idx="159">
                  <c:v>80000</c:v>
                </c:pt>
                <c:pt idx="160">
                  <c:v>80500</c:v>
                </c:pt>
                <c:pt idx="161">
                  <c:v>81000</c:v>
                </c:pt>
                <c:pt idx="162">
                  <c:v>81500</c:v>
                </c:pt>
                <c:pt idx="163">
                  <c:v>82000</c:v>
                </c:pt>
                <c:pt idx="164">
                  <c:v>82500</c:v>
                </c:pt>
                <c:pt idx="165">
                  <c:v>83000</c:v>
                </c:pt>
                <c:pt idx="166">
                  <c:v>83500</c:v>
                </c:pt>
                <c:pt idx="167">
                  <c:v>84000</c:v>
                </c:pt>
                <c:pt idx="168">
                  <c:v>84500</c:v>
                </c:pt>
                <c:pt idx="169">
                  <c:v>85000</c:v>
                </c:pt>
                <c:pt idx="170">
                  <c:v>85500</c:v>
                </c:pt>
                <c:pt idx="171">
                  <c:v>86000</c:v>
                </c:pt>
                <c:pt idx="172">
                  <c:v>86500</c:v>
                </c:pt>
                <c:pt idx="173">
                  <c:v>87000</c:v>
                </c:pt>
                <c:pt idx="174">
                  <c:v>87500</c:v>
                </c:pt>
                <c:pt idx="175">
                  <c:v>88000</c:v>
                </c:pt>
                <c:pt idx="176">
                  <c:v>88500</c:v>
                </c:pt>
                <c:pt idx="177">
                  <c:v>89000</c:v>
                </c:pt>
                <c:pt idx="178">
                  <c:v>89500</c:v>
                </c:pt>
                <c:pt idx="179">
                  <c:v>90000</c:v>
                </c:pt>
                <c:pt idx="180">
                  <c:v>90500</c:v>
                </c:pt>
                <c:pt idx="181">
                  <c:v>91000</c:v>
                </c:pt>
                <c:pt idx="182">
                  <c:v>91500</c:v>
                </c:pt>
                <c:pt idx="183">
                  <c:v>92000</c:v>
                </c:pt>
                <c:pt idx="184">
                  <c:v>92500</c:v>
                </c:pt>
                <c:pt idx="185">
                  <c:v>93000</c:v>
                </c:pt>
                <c:pt idx="186">
                  <c:v>93500</c:v>
                </c:pt>
                <c:pt idx="187">
                  <c:v>94000</c:v>
                </c:pt>
                <c:pt idx="188">
                  <c:v>94500</c:v>
                </c:pt>
                <c:pt idx="189">
                  <c:v>95000</c:v>
                </c:pt>
                <c:pt idx="190">
                  <c:v>95500</c:v>
                </c:pt>
                <c:pt idx="191">
                  <c:v>96000</c:v>
                </c:pt>
                <c:pt idx="192">
                  <c:v>96500</c:v>
                </c:pt>
                <c:pt idx="193">
                  <c:v>97000</c:v>
                </c:pt>
                <c:pt idx="194">
                  <c:v>97500</c:v>
                </c:pt>
                <c:pt idx="195">
                  <c:v>98000</c:v>
                </c:pt>
                <c:pt idx="196">
                  <c:v>98500</c:v>
                </c:pt>
                <c:pt idx="197">
                  <c:v>99000</c:v>
                </c:pt>
                <c:pt idx="198">
                  <c:v>99500</c:v>
                </c:pt>
                <c:pt idx="199">
                  <c:v>100000</c:v>
                </c:pt>
                <c:pt idx="200">
                  <c:v>100500</c:v>
                </c:pt>
                <c:pt idx="201">
                  <c:v>101000</c:v>
                </c:pt>
                <c:pt idx="202">
                  <c:v>101500</c:v>
                </c:pt>
                <c:pt idx="203">
                  <c:v>102000</c:v>
                </c:pt>
                <c:pt idx="204">
                  <c:v>102500</c:v>
                </c:pt>
                <c:pt idx="205">
                  <c:v>103000</c:v>
                </c:pt>
                <c:pt idx="206">
                  <c:v>103500</c:v>
                </c:pt>
                <c:pt idx="207">
                  <c:v>104000</c:v>
                </c:pt>
                <c:pt idx="208">
                  <c:v>104500</c:v>
                </c:pt>
                <c:pt idx="209">
                  <c:v>105000</c:v>
                </c:pt>
                <c:pt idx="210">
                  <c:v>105500</c:v>
                </c:pt>
                <c:pt idx="211">
                  <c:v>106000</c:v>
                </c:pt>
                <c:pt idx="212">
                  <c:v>106500</c:v>
                </c:pt>
                <c:pt idx="213">
                  <c:v>107000</c:v>
                </c:pt>
                <c:pt idx="214">
                  <c:v>107500</c:v>
                </c:pt>
                <c:pt idx="215">
                  <c:v>108000</c:v>
                </c:pt>
                <c:pt idx="216">
                  <c:v>108500</c:v>
                </c:pt>
                <c:pt idx="217">
                  <c:v>109000</c:v>
                </c:pt>
                <c:pt idx="218">
                  <c:v>109500</c:v>
                </c:pt>
                <c:pt idx="219">
                  <c:v>110000</c:v>
                </c:pt>
                <c:pt idx="220">
                  <c:v>110500</c:v>
                </c:pt>
                <c:pt idx="221">
                  <c:v>111000</c:v>
                </c:pt>
                <c:pt idx="222">
                  <c:v>111500</c:v>
                </c:pt>
                <c:pt idx="223">
                  <c:v>112000</c:v>
                </c:pt>
                <c:pt idx="224">
                  <c:v>112500</c:v>
                </c:pt>
                <c:pt idx="225">
                  <c:v>113000</c:v>
                </c:pt>
                <c:pt idx="226">
                  <c:v>113500</c:v>
                </c:pt>
                <c:pt idx="227">
                  <c:v>114000</c:v>
                </c:pt>
                <c:pt idx="228">
                  <c:v>114500</c:v>
                </c:pt>
                <c:pt idx="229">
                  <c:v>115000</c:v>
                </c:pt>
                <c:pt idx="230">
                  <c:v>115500</c:v>
                </c:pt>
                <c:pt idx="231">
                  <c:v>116000</c:v>
                </c:pt>
                <c:pt idx="232">
                  <c:v>116500</c:v>
                </c:pt>
                <c:pt idx="233">
                  <c:v>117000</c:v>
                </c:pt>
                <c:pt idx="234">
                  <c:v>117500</c:v>
                </c:pt>
                <c:pt idx="235">
                  <c:v>118000</c:v>
                </c:pt>
                <c:pt idx="236">
                  <c:v>118500</c:v>
                </c:pt>
                <c:pt idx="237">
                  <c:v>119000</c:v>
                </c:pt>
                <c:pt idx="238">
                  <c:v>119500</c:v>
                </c:pt>
                <c:pt idx="239">
                  <c:v>120000</c:v>
                </c:pt>
                <c:pt idx="240">
                  <c:v>120500</c:v>
                </c:pt>
                <c:pt idx="241">
                  <c:v>121000</c:v>
                </c:pt>
                <c:pt idx="242">
                  <c:v>121500</c:v>
                </c:pt>
                <c:pt idx="243">
                  <c:v>122000</c:v>
                </c:pt>
                <c:pt idx="244">
                  <c:v>122500</c:v>
                </c:pt>
                <c:pt idx="245">
                  <c:v>123000</c:v>
                </c:pt>
                <c:pt idx="246">
                  <c:v>123500</c:v>
                </c:pt>
                <c:pt idx="247">
                  <c:v>124000</c:v>
                </c:pt>
                <c:pt idx="248">
                  <c:v>124500</c:v>
                </c:pt>
                <c:pt idx="249">
                  <c:v>125000</c:v>
                </c:pt>
                <c:pt idx="250">
                  <c:v>125500</c:v>
                </c:pt>
                <c:pt idx="251">
                  <c:v>126000</c:v>
                </c:pt>
                <c:pt idx="252">
                  <c:v>126500</c:v>
                </c:pt>
                <c:pt idx="253">
                  <c:v>127000</c:v>
                </c:pt>
                <c:pt idx="254">
                  <c:v>127500</c:v>
                </c:pt>
                <c:pt idx="255">
                  <c:v>128000</c:v>
                </c:pt>
                <c:pt idx="256">
                  <c:v>128500</c:v>
                </c:pt>
                <c:pt idx="257">
                  <c:v>129000</c:v>
                </c:pt>
                <c:pt idx="258">
                  <c:v>129500</c:v>
                </c:pt>
                <c:pt idx="259">
                  <c:v>130000</c:v>
                </c:pt>
                <c:pt idx="260">
                  <c:v>130500</c:v>
                </c:pt>
                <c:pt idx="261">
                  <c:v>131000</c:v>
                </c:pt>
                <c:pt idx="262">
                  <c:v>131500</c:v>
                </c:pt>
                <c:pt idx="263">
                  <c:v>132000</c:v>
                </c:pt>
                <c:pt idx="264">
                  <c:v>132500</c:v>
                </c:pt>
                <c:pt idx="265">
                  <c:v>133000</c:v>
                </c:pt>
                <c:pt idx="266">
                  <c:v>133500</c:v>
                </c:pt>
                <c:pt idx="267">
                  <c:v>134000</c:v>
                </c:pt>
                <c:pt idx="268">
                  <c:v>134500</c:v>
                </c:pt>
                <c:pt idx="269">
                  <c:v>135000</c:v>
                </c:pt>
                <c:pt idx="270">
                  <c:v>135500</c:v>
                </c:pt>
                <c:pt idx="271">
                  <c:v>136000</c:v>
                </c:pt>
                <c:pt idx="272">
                  <c:v>136500</c:v>
                </c:pt>
                <c:pt idx="273">
                  <c:v>137000</c:v>
                </c:pt>
                <c:pt idx="274">
                  <c:v>137500</c:v>
                </c:pt>
                <c:pt idx="275">
                  <c:v>138000</c:v>
                </c:pt>
                <c:pt idx="276">
                  <c:v>138500</c:v>
                </c:pt>
                <c:pt idx="277">
                  <c:v>139000</c:v>
                </c:pt>
                <c:pt idx="278">
                  <c:v>139500</c:v>
                </c:pt>
                <c:pt idx="279">
                  <c:v>140000</c:v>
                </c:pt>
                <c:pt idx="280">
                  <c:v>140500</c:v>
                </c:pt>
                <c:pt idx="281">
                  <c:v>141000</c:v>
                </c:pt>
                <c:pt idx="282">
                  <c:v>141500</c:v>
                </c:pt>
                <c:pt idx="283">
                  <c:v>142000</c:v>
                </c:pt>
                <c:pt idx="284">
                  <c:v>142500</c:v>
                </c:pt>
                <c:pt idx="285">
                  <c:v>143000</c:v>
                </c:pt>
                <c:pt idx="286">
                  <c:v>143500</c:v>
                </c:pt>
                <c:pt idx="287">
                  <c:v>144000</c:v>
                </c:pt>
                <c:pt idx="288">
                  <c:v>144500</c:v>
                </c:pt>
                <c:pt idx="289">
                  <c:v>145000</c:v>
                </c:pt>
                <c:pt idx="290">
                  <c:v>145500</c:v>
                </c:pt>
                <c:pt idx="291">
                  <c:v>146000</c:v>
                </c:pt>
                <c:pt idx="292">
                  <c:v>146500</c:v>
                </c:pt>
                <c:pt idx="293">
                  <c:v>147000</c:v>
                </c:pt>
                <c:pt idx="294">
                  <c:v>147500</c:v>
                </c:pt>
                <c:pt idx="295">
                  <c:v>148000</c:v>
                </c:pt>
                <c:pt idx="296">
                  <c:v>148500</c:v>
                </c:pt>
                <c:pt idx="297">
                  <c:v>149000</c:v>
                </c:pt>
                <c:pt idx="298">
                  <c:v>149500</c:v>
                </c:pt>
                <c:pt idx="299">
                  <c:v>150000</c:v>
                </c:pt>
                <c:pt idx="300">
                  <c:v>150500</c:v>
                </c:pt>
                <c:pt idx="301">
                  <c:v>151000</c:v>
                </c:pt>
                <c:pt idx="302">
                  <c:v>151500</c:v>
                </c:pt>
                <c:pt idx="303">
                  <c:v>152000</c:v>
                </c:pt>
                <c:pt idx="304">
                  <c:v>152500</c:v>
                </c:pt>
                <c:pt idx="305">
                  <c:v>153000</c:v>
                </c:pt>
                <c:pt idx="306">
                  <c:v>153500</c:v>
                </c:pt>
                <c:pt idx="307">
                  <c:v>154000</c:v>
                </c:pt>
                <c:pt idx="308">
                  <c:v>154500</c:v>
                </c:pt>
                <c:pt idx="309">
                  <c:v>155000</c:v>
                </c:pt>
                <c:pt idx="310">
                  <c:v>155500</c:v>
                </c:pt>
                <c:pt idx="311">
                  <c:v>156000</c:v>
                </c:pt>
                <c:pt idx="312">
                  <c:v>156500</c:v>
                </c:pt>
                <c:pt idx="313">
                  <c:v>157000</c:v>
                </c:pt>
                <c:pt idx="314">
                  <c:v>157500</c:v>
                </c:pt>
                <c:pt idx="315">
                  <c:v>158000</c:v>
                </c:pt>
                <c:pt idx="316">
                  <c:v>158500</c:v>
                </c:pt>
                <c:pt idx="317">
                  <c:v>159000</c:v>
                </c:pt>
                <c:pt idx="318">
                  <c:v>159500</c:v>
                </c:pt>
                <c:pt idx="319">
                  <c:v>160000</c:v>
                </c:pt>
                <c:pt idx="320">
                  <c:v>160500</c:v>
                </c:pt>
                <c:pt idx="321">
                  <c:v>161000</c:v>
                </c:pt>
                <c:pt idx="322">
                  <c:v>161500</c:v>
                </c:pt>
                <c:pt idx="323">
                  <c:v>162000</c:v>
                </c:pt>
                <c:pt idx="324">
                  <c:v>162500</c:v>
                </c:pt>
                <c:pt idx="325">
                  <c:v>163000</c:v>
                </c:pt>
                <c:pt idx="326">
                  <c:v>163500</c:v>
                </c:pt>
                <c:pt idx="327">
                  <c:v>164000</c:v>
                </c:pt>
                <c:pt idx="328">
                  <c:v>164500</c:v>
                </c:pt>
                <c:pt idx="329">
                  <c:v>165000</c:v>
                </c:pt>
                <c:pt idx="330">
                  <c:v>165500</c:v>
                </c:pt>
                <c:pt idx="331">
                  <c:v>166000</c:v>
                </c:pt>
                <c:pt idx="332">
                  <c:v>166500</c:v>
                </c:pt>
                <c:pt idx="333">
                  <c:v>167000</c:v>
                </c:pt>
                <c:pt idx="334">
                  <c:v>167500</c:v>
                </c:pt>
                <c:pt idx="335">
                  <c:v>168000</c:v>
                </c:pt>
                <c:pt idx="336">
                  <c:v>168500</c:v>
                </c:pt>
                <c:pt idx="337">
                  <c:v>169000</c:v>
                </c:pt>
                <c:pt idx="338">
                  <c:v>169500</c:v>
                </c:pt>
                <c:pt idx="339">
                  <c:v>170000</c:v>
                </c:pt>
                <c:pt idx="340">
                  <c:v>170500</c:v>
                </c:pt>
                <c:pt idx="341">
                  <c:v>171000</c:v>
                </c:pt>
                <c:pt idx="342">
                  <c:v>171500</c:v>
                </c:pt>
                <c:pt idx="343">
                  <c:v>172000</c:v>
                </c:pt>
                <c:pt idx="344">
                  <c:v>172500</c:v>
                </c:pt>
                <c:pt idx="345">
                  <c:v>173000</c:v>
                </c:pt>
                <c:pt idx="346">
                  <c:v>173500</c:v>
                </c:pt>
                <c:pt idx="347">
                  <c:v>174000</c:v>
                </c:pt>
                <c:pt idx="348">
                  <c:v>174500</c:v>
                </c:pt>
                <c:pt idx="349">
                  <c:v>175000</c:v>
                </c:pt>
                <c:pt idx="350">
                  <c:v>175500</c:v>
                </c:pt>
                <c:pt idx="351">
                  <c:v>176000</c:v>
                </c:pt>
                <c:pt idx="352">
                  <c:v>176500</c:v>
                </c:pt>
                <c:pt idx="353">
                  <c:v>177000</c:v>
                </c:pt>
                <c:pt idx="354">
                  <c:v>177500</c:v>
                </c:pt>
                <c:pt idx="355">
                  <c:v>178000</c:v>
                </c:pt>
                <c:pt idx="356">
                  <c:v>178500</c:v>
                </c:pt>
                <c:pt idx="357">
                  <c:v>179000</c:v>
                </c:pt>
                <c:pt idx="358">
                  <c:v>179500</c:v>
                </c:pt>
                <c:pt idx="359">
                  <c:v>180000</c:v>
                </c:pt>
                <c:pt idx="360">
                  <c:v>180500</c:v>
                </c:pt>
                <c:pt idx="361">
                  <c:v>181000</c:v>
                </c:pt>
                <c:pt idx="362">
                  <c:v>181500</c:v>
                </c:pt>
                <c:pt idx="363">
                  <c:v>182000</c:v>
                </c:pt>
                <c:pt idx="364">
                  <c:v>182500</c:v>
                </c:pt>
                <c:pt idx="365">
                  <c:v>183000</c:v>
                </c:pt>
                <c:pt idx="366">
                  <c:v>183500</c:v>
                </c:pt>
                <c:pt idx="367">
                  <c:v>184000</c:v>
                </c:pt>
                <c:pt idx="368">
                  <c:v>184500</c:v>
                </c:pt>
                <c:pt idx="369">
                  <c:v>185000</c:v>
                </c:pt>
                <c:pt idx="370">
                  <c:v>185500</c:v>
                </c:pt>
                <c:pt idx="371">
                  <c:v>186000</c:v>
                </c:pt>
                <c:pt idx="372">
                  <c:v>186500</c:v>
                </c:pt>
                <c:pt idx="373">
                  <c:v>187000</c:v>
                </c:pt>
                <c:pt idx="374">
                  <c:v>187500</c:v>
                </c:pt>
                <c:pt idx="375">
                  <c:v>188000</c:v>
                </c:pt>
                <c:pt idx="376">
                  <c:v>188500</c:v>
                </c:pt>
                <c:pt idx="377">
                  <c:v>189000</c:v>
                </c:pt>
                <c:pt idx="378">
                  <c:v>189500</c:v>
                </c:pt>
                <c:pt idx="379">
                  <c:v>190000</c:v>
                </c:pt>
                <c:pt idx="380">
                  <c:v>190500</c:v>
                </c:pt>
                <c:pt idx="381">
                  <c:v>191000</c:v>
                </c:pt>
                <c:pt idx="382">
                  <c:v>191500</c:v>
                </c:pt>
                <c:pt idx="383">
                  <c:v>192000</c:v>
                </c:pt>
                <c:pt idx="384">
                  <c:v>192500</c:v>
                </c:pt>
                <c:pt idx="385">
                  <c:v>193000</c:v>
                </c:pt>
                <c:pt idx="386">
                  <c:v>193500</c:v>
                </c:pt>
                <c:pt idx="387">
                  <c:v>194000</c:v>
                </c:pt>
                <c:pt idx="388">
                  <c:v>194500</c:v>
                </c:pt>
                <c:pt idx="389">
                  <c:v>195000</c:v>
                </c:pt>
                <c:pt idx="390">
                  <c:v>195500</c:v>
                </c:pt>
                <c:pt idx="391">
                  <c:v>196000</c:v>
                </c:pt>
                <c:pt idx="392">
                  <c:v>196500</c:v>
                </c:pt>
                <c:pt idx="393">
                  <c:v>197000</c:v>
                </c:pt>
                <c:pt idx="394">
                  <c:v>197500</c:v>
                </c:pt>
                <c:pt idx="395">
                  <c:v>198000</c:v>
                </c:pt>
                <c:pt idx="396">
                  <c:v>198500</c:v>
                </c:pt>
                <c:pt idx="397">
                  <c:v>199000</c:v>
                </c:pt>
                <c:pt idx="398">
                  <c:v>199500</c:v>
                </c:pt>
                <c:pt idx="399">
                  <c:v>200000</c:v>
                </c:pt>
                <c:pt idx="400">
                  <c:v>200500</c:v>
                </c:pt>
                <c:pt idx="401">
                  <c:v>201000</c:v>
                </c:pt>
                <c:pt idx="402">
                  <c:v>201500</c:v>
                </c:pt>
                <c:pt idx="403">
                  <c:v>202000</c:v>
                </c:pt>
                <c:pt idx="404">
                  <c:v>202500</c:v>
                </c:pt>
                <c:pt idx="405">
                  <c:v>203000</c:v>
                </c:pt>
                <c:pt idx="406">
                  <c:v>203500</c:v>
                </c:pt>
                <c:pt idx="407">
                  <c:v>204000</c:v>
                </c:pt>
                <c:pt idx="408">
                  <c:v>204500</c:v>
                </c:pt>
                <c:pt idx="409">
                  <c:v>205000</c:v>
                </c:pt>
                <c:pt idx="410">
                  <c:v>205500</c:v>
                </c:pt>
                <c:pt idx="411">
                  <c:v>206000</c:v>
                </c:pt>
                <c:pt idx="412">
                  <c:v>206500</c:v>
                </c:pt>
                <c:pt idx="413">
                  <c:v>207000</c:v>
                </c:pt>
                <c:pt idx="414">
                  <c:v>207500</c:v>
                </c:pt>
                <c:pt idx="415">
                  <c:v>208000</c:v>
                </c:pt>
                <c:pt idx="416">
                  <c:v>208500</c:v>
                </c:pt>
                <c:pt idx="417">
                  <c:v>209000</c:v>
                </c:pt>
                <c:pt idx="418">
                  <c:v>209500</c:v>
                </c:pt>
                <c:pt idx="419">
                  <c:v>210000</c:v>
                </c:pt>
                <c:pt idx="420">
                  <c:v>210500</c:v>
                </c:pt>
                <c:pt idx="421">
                  <c:v>211000</c:v>
                </c:pt>
                <c:pt idx="422">
                  <c:v>211500</c:v>
                </c:pt>
                <c:pt idx="423">
                  <c:v>212000</c:v>
                </c:pt>
                <c:pt idx="424">
                  <c:v>212500</c:v>
                </c:pt>
                <c:pt idx="425">
                  <c:v>213000</c:v>
                </c:pt>
                <c:pt idx="426">
                  <c:v>213500</c:v>
                </c:pt>
                <c:pt idx="427">
                  <c:v>214000</c:v>
                </c:pt>
                <c:pt idx="428">
                  <c:v>214500</c:v>
                </c:pt>
                <c:pt idx="429">
                  <c:v>215000</c:v>
                </c:pt>
                <c:pt idx="430">
                  <c:v>215500</c:v>
                </c:pt>
                <c:pt idx="431">
                  <c:v>216000</c:v>
                </c:pt>
                <c:pt idx="432">
                  <c:v>216500</c:v>
                </c:pt>
                <c:pt idx="433">
                  <c:v>217000</c:v>
                </c:pt>
                <c:pt idx="434">
                  <c:v>217500</c:v>
                </c:pt>
                <c:pt idx="435">
                  <c:v>218000</c:v>
                </c:pt>
                <c:pt idx="436">
                  <c:v>218500</c:v>
                </c:pt>
                <c:pt idx="437">
                  <c:v>219000</c:v>
                </c:pt>
                <c:pt idx="438">
                  <c:v>219500</c:v>
                </c:pt>
                <c:pt idx="439">
                  <c:v>220000</c:v>
                </c:pt>
                <c:pt idx="440">
                  <c:v>220500</c:v>
                </c:pt>
                <c:pt idx="441">
                  <c:v>221000</c:v>
                </c:pt>
                <c:pt idx="442">
                  <c:v>221500</c:v>
                </c:pt>
                <c:pt idx="443">
                  <c:v>222000</c:v>
                </c:pt>
                <c:pt idx="444">
                  <c:v>222500</c:v>
                </c:pt>
                <c:pt idx="445">
                  <c:v>223000</c:v>
                </c:pt>
                <c:pt idx="446">
                  <c:v>223500</c:v>
                </c:pt>
                <c:pt idx="447">
                  <c:v>224000</c:v>
                </c:pt>
                <c:pt idx="448">
                  <c:v>224500</c:v>
                </c:pt>
                <c:pt idx="449">
                  <c:v>225000</c:v>
                </c:pt>
                <c:pt idx="450">
                  <c:v>225500</c:v>
                </c:pt>
                <c:pt idx="451">
                  <c:v>226000</c:v>
                </c:pt>
                <c:pt idx="452">
                  <c:v>226500</c:v>
                </c:pt>
                <c:pt idx="453">
                  <c:v>227000</c:v>
                </c:pt>
                <c:pt idx="454">
                  <c:v>227500</c:v>
                </c:pt>
                <c:pt idx="455">
                  <c:v>228000</c:v>
                </c:pt>
                <c:pt idx="456">
                  <c:v>228500</c:v>
                </c:pt>
                <c:pt idx="457">
                  <c:v>229000</c:v>
                </c:pt>
                <c:pt idx="458">
                  <c:v>229500</c:v>
                </c:pt>
                <c:pt idx="459">
                  <c:v>230000</c:v>
                </c:pt>
                <c:pt idx="460">
                  <c:v>230500</c:v>
                </c:pt>
                <c:pt idx="461">
                  <c:v>231000</c:v>
                </c:pt>
                <c:pt idx="462">
                  <c:v>231500</c:v>
                </c:pt>
                <c:pt idx="463">
                  <c:v>232000</c:v>
                </c:pt>
                <c:pt idx="464">
                  <c:v>232500</c:v>
                </c:pt>
                <c:pt idx="465">
                  <c:v>233000</c:v>
                </c:pt>
                <c:pt idx="466">
                  <c:v>233500</c:v>
                </c:pt>
                <c:pt idx="467">
                  <c:v>234000</c:v>
                </c:pt>
                <c:pt idx="468">
                  <c:v>234500</c:v>
                </c:pt>
                <c:pt idx="469">
                  <c:v>235000</c:v>
                </c:pt>
                <c:pt idx="470">
                  <c:v>235500</c:v>
                </c:pt>
                <c:pt idx="471">
                  <c:v>236000</c:v>
                </c:pt>
                <c:pt idx="472">
                  <c:v>236500</c:v>
                </c:pt>
                <c:pt idx="473">
                  <c:v>237000</c:v>
                </c:pt>
                <c:pt idx="474">
                  <c:v>237500</c:v>
                </c:pt>
                <c:pt idx="475">
                  <c:v>238000</c:v>
                </c:pt>
                <c:pt idx="476">
                  <c:v>238500</c:v>
                </c:pt>
                <c:pt idx="477">
                  <c:v>239000</c:v>
                </c:pt>
                <c:pt idx="478">
                  <c:v>239500</c:v>
                </c:pt>
                <c:pt idx="479">
                  <c:v>240000</c:v>
                </c:pt>
                <c:pt idx="480">
                  <c:v>240500</c:v>
                </c:pt>
                <c:pt idx="481">
                  <c:v>241000</c:v>
                </c:pt>
                <c:pt idx="482">
                  <c:v>241500</c:v>
                </c:pt>
                <c:pt idx="483">
                  <c:v>242000</c:v>
                </c:pt>
                <c:pt idx="484">
                  <c:v>242500</c:v>
                </c:pt>
                <c:pt idx="485">
                  <c:v>243000</c:v>
                </c:pt>
                <c:pt idx="486">
                  <c:v>243500</c:v>
                </c:pt>
                <c:pt idx="487">
                  <c:v>244000</c:v>
                </c:pt>
                <c:pt idx="488">
                  <c:v>244500</c:v>
                </c:pt>
                <c:pt idx="489">
                  <c:v>245000</c:v>
                </c:pt>
                <c:pt idx="490">
                  <c:v>245500</c:v>
                </c:pt>
                <c:pt idx="491">
                  <c:v>246000</c:v>
                </c:pt>
                <c:pt idx="492">
                  <c:v>246500</c:v>
                </c:pt>
                <c:pt idx="493">
                  <c:v>247000</c:v>
                </c:pt>
                <c:pt idx="494">
                  <c:v>247500</c:v>
                </c:pt>
                <c:pt idx="495">
                  <c:v>248000</c:v>
                </c:pt>
                <c:pt idx="496">
                  <c:v>248500</c:v>
                </c:pt>
                <c:pt idx="497">
                  <c:v>249000</c:v>
                </c:pt>
                <c:pt idx="498">
                  <c:v>249500</c:v>
                </c:pt>
                <c:pt idx="499">
                  <c:v>250000</c:v>
                </c:pt>
                <c:pt idx="500">
                  <c:v>250500</c:v>
                </c:pt>
                <c:pt idx="501">
                  <c:v>251000</c:v>
                </c:pt>
                <c:pt idx="502">
                  <c:v>251500</c:v>
                </c:pt>
                <c:pt idx="503">
                  <c:v>252000</c:v>
                </c:pt>
                <c:pt idx="504">
                  <c:v>252500</c:v>
                </c:pt>
                <c:pt idx="505">
                  <c:v>253000</c:v>
                </c:pt>
                <c:pt idx="506">
                  <c:v>253500</c:v>
                </c:pt>
                <c:pt idx="507">
                  <c:v>254000</c:v>
                </c:pt>
                <c:pt idx="508">
                  <c:v>254500</c:v>
                </c:pt>
                <c:pt idx="509">
                  <c:v>255000</c:v>
                </c:pt>
                <c:pt idx="510">
                  <c:v>255500</c:v>
                </c:pt>
                <c:pt idx="511">
                  <c:v>256000</c:v>
                </c:pt>
                <c:pt idx="512">
                  <c:v>256500</c:v>
                </c:pt>
                <c:pt idx="513">
                  <c:v>257000</c:v>
                </c:pt>
                <c:pt idx="514">
                  <c:v>257500</c:v>
                </c:pt>
                <c:pt idx="515">
                  <c:v>258000</c:v>
                </c:pt>
                <c:pt idx="516">
                  <c:v>258500</c:v>
                </c:pt>
                <c:pt idx="517">
                  <c:v>259000</c:v>
                </c:pt>
                <c:pt idx="518">
                  <c:v>259500</c:v>
                </c:pt>
                <c:pt idx="519">
                  <c:v>260000</c:v>
                </c:pt>
                <c:pt idx="520">
                  <c:v>260500</c:v>
                </c:pt>
                <c:pt idx="521">
                  <c:v>261000</c:v>
                </c:pt>
                <c:pt idx="522">
                  <c:v>261500</c:v>
                </c:pt>
                <c:pt idx="523">
                  <c:v>262000</c:v>
                </c:pt>
                <c:pt idx="524">
                  <c:v>262500</c:v>
                </c:pt>
                <c:pt idx="525">
                  <c:v>263000</c:v>
                </c:pt>
                <c:pt idx="526">
                  <c:v>263500</c:v>
                </c:pt>
                <c:pt idx="527">
                  <c:v>264000</c:v>
                </c:pt>
                <c:pt idx="528">
                  <c:v>264500</c:v>
                </c:pt>
                <c:pt idx="529">
                  <c:v>265000</c:v>
                </c:pt>
                <c:pt idx="530">
                  <c:v>265500</c:v>
                </c:pt>
                <c:pt idx="531">
                  <c:v>266000</c:v>
                </c:pt>
                <c:pt idx="532">
                  <c:v>266500</c:v>
                </c:pt>
                <c:pt idx="533">
                  <c:v>267000</c:v>
                </c:pt>
                <c:pt idx="534">
                  <c:v>267500</c:v>
                </c:pt>
                <c:pt idx="535">
                  <c:v>268000</c:v>
                </c:pt>
                <c:pt idx="536">
                  <c:v>268500</c:v>
                </c:pt>
                <c:pt idx="537">
                  <c:v>269000</c:v>
                </c:pt>
                <c:pt idx="538">
                  <c:v>269500</c:v>
                </c:pt>
                <c:pt idx="539">
                  <c:v>270000</c:v>
                </c:pt>
                <c:pt idx="540">
                  <c:v>270500</c:v>
                </c:pt>
                <c:pt idx="541">
                  <c:v>271000</c:v>
                </c:pt>
                <c:pt idx="542">
                  <c:v>271500</c:v>
                </c:pt>
                <c:pt idx="543">
                  <c:v>272000</c:v>
                </c:pt>
                <c:pt idx="544">
                  <c:v>272500</c:v>
                </c:pt>
                <c:pt idx="545">
                  <c:v>273000</c:v>
                </c:pt>
                <c:pt idx="546">
                  <c:v>273500</c:v>
                </c:pt>
                <c:pt idx="547">
                  <c:v>274000</c:v>
                </c:pt>
                <c:pt idx="548">
                  <c:v>274500</c:v>
                </c:pt>
                <c:pt idx="549">
                  <c:v>275000</c:v>
                </c:pt>
                <c:pt idx="550">
                  <c:v>275500</c:v>
                </c:pt>
                <c:pt idx="551">
                  <c:v>276000</c:v>
                </c:pt>
                <c:pt idx="552">
                  <c:v>276500</c:v>
                </c:pt>
                <c:pt idx="553">
                  <c:v>277000</c:v>
                </c:pt>
                <c:pt idx="554">
                  <c:v>277500</c:v>
                </c:pt>
                <c:pt idx="555">
                  <c:v>278000</c:v>
                </c:pt>
                <c:pt idx="556">
                  <c:v>278500</c:v>
                </c:pt>
                <c:pt idx="557">
                  <c:v>279000</c:v>
                </c:pt>
                <c:pt idx="558">
                  <c:v>279500</c:v>
                </c:pt>
                <c:pt idx="559">
                  <c:v>280000</c:v>
                </c:pt>
                <c:pt idx="560">
                  <c:v>280500</c:v>
                </c:pt>
                <c:pt idx="561">
                  <c:v>281000</c:v>
                </c:pt>
                <c:pt idx="562">
                  <c:v>281500</c:v>
                </c:pt>
                <c:pt idx="563">
                  <c:v>282000</c:v>
                </c:pt>
                <c:pt idx="564">
                  <c:v>282500</c:v>
                </c:pt>
                <c:pt idx="565">
                  <c:v>283000</c:v>
                </c:pt>
                <c:pt idx="566">
                  <c:v>283500</c:v>
                </c:pt>
                <c:pt idx="567">
                  <c:v>284000</c:v>
                </c:pt>
                <c:pt idx="568">
                  <c:v>284500</c:v>
                </c:pt>
                <c:pt idx="569">
                  <c:v>285000</c:v>
                </c:pt>
                <c:pt idx="570">
                  <c:v>285500</c:v>
                </c:pt>
                <c:pt idx="571">
                  <c:v>286000</c:v>
                </c:pt>
                <c:pt idx="572">
                  <c:v>286500</c:v>
                </c:pt>
                <c:pt idx="573">
                  <c:v>287000</c:v>
                </c:pt>
                <c:pt idx="574">
                  <c:v>287500</c:v>
                </c:pt>
                <c:pt idx="575">
                  <c:v>288000</c:v>
                </c:pt>
                <c:pt idx="576">
                  <c:v>288500</c:v>
                </c:pt>
                <c:pt idx="577">
                  <c:v>289000</c:v>
                </c:pt>
                <c:pt idx="578">
                  <c:v>289500</c:v>
                </c:pt>
                <c:pt idx="579">
                  <c:v>290000</c:v>
                </c:pt>
                <c:pt idx="580">
                  <c:v>290500</c:v>
                </c:pt>
                <c:pt idx="581">
                  <c:v>291000</c:v>
                </c:pt>
                <c:pt idx="582">
                  <c:v>291500</c:v>
                </c:pt>
                <c:pt idx="583">
                  <c:v>292000</c:v>
                </c:pt>
                <c:pt idx="584">
                  <c:v>292500</c:v>
                </c:pt>
                <c:pt idx="585">
                  <c:v>293000</c:v>
                </c:pt>
                <c:pt idx="586">
                  <c:v>293500</c:v>
                </c:pt>
                <c:pt idx="587">
                  <c:v>294000</c:v>
                </c:pt>
                <c:pt idx="588">
                  <c:v>294500</c:v>
                </c:pt>
                <c:pt idx="589">
                  <c:v>295000</c:v>
                </c:pt>
                <c:pt idx="590">
                  <c:v>295500</c:v>
                </c:pt>
                <c:pt idx="591">
                  <c:v>296000</c:v>
                </c:pt>
                <c:pt idx="592">
                  <c:v>296500</c:v>
                </c:pt>
                <c:pt idx="593">
                  <c:v>297000</c:v>
                </c:pt>
                <c:pt idx="594">
                  <c:v>297500</c:v>
                </c:pt>
                <c:pt idx="595">
                  <c:v>298000</c:v>
                </c:pt>
                <c:pt idx="596">
                  <c:v>298500</c:v>
                </c:pt>
                <c:pt idx="597">
                  <c:v>299000</c:v>
                </c:pt>
                <c:pt idx="598">
                  <c:v>299500</c:v>
                </c:pt>
                <c:pt idx="599">
                  <c:v>300000</c:v>
                </c:pt>
                <c:pt idx="600">
                  <c:v>300500</c:v>
                </c:pt>
                <c:pt idx="601">
                  <c:v>301000</c:v>
                </c:pt>
                <c:pt idx="602">
                  <c:v>301500</c:v>
                </c:pt>
                <c:pt idx="603">
                  <c:v>302000</c:v>
                </c:pt>
                <c:pt idx="604">
                  <c:v>302500</c:v>
                </c:pt>
                <c:pt idx="605">
                  <c:v>303000</c:v>
                </c:pt>
                <c:pt idx="606">
                  <c:v>303500</c:v>
                </c:pt>
                <c:pt idx="607">
                  <c:v>304000</c:v>
                </c:pt>
                <c:pt idx="608">
                  <c:v>304500</c:v>
                </c:pt>
                <c:pt idx="609">
                  <c:v>305000</c:v>
                </c:pt>
                <c:pt idx="610">
                  <c:v>305500</c:v>
                </c:pt>
                <c:pt idx="611">
                  <c:v>306000</c:v>
                </c:pt>
                <c:pt idx="612">
                  <c:v>306500</c:v>
                </c:pt>
                <c:pt idx="613">
                  <c:v>307000</c:v>
                </c:pt>
                <c:pt idx="614">
                  <c:v>307500</c:v>
                </c:pt>
                <c:pt idx="615">
                  <c:v>308000</c:v>
                </c:pt>
                <c:pt idx="616">
                  <c:v>308500</c:v>
                </c:pt>
                <c:pt idx="617">
                  <c:v>309000</c:v>
                </c:pt>
                <c:pt idx="618">
                  <c:v>309500</c:v>
                </c:pt>
                <c:pt idx="619">
                  <c:v>310000</c:v>
                </c:pt>
                <c:pt idx="620">
                  <c:v>310500</c:v>
                </c:pt>
                <c:pt idx="621">
                  <c:v>311000</c:v>
                </c:pt>
                <c:pt idx="622">
                  <c:v>311500</c:v>
                </c:pt>
                <c:pt idx="623">
                  <c:v>312000</c:v>
                </c:pt>
                <c:pt idx="624">
                  <c:v>312500</c:v>
                </c:pt>
                <c:pt idx="625">
                  <c:v>313000</c:v>
                </c:pt>
                <c:pt idx="626">
                  <c:v>313500</c:v>
                </c:pt>
                <c:pt idx="627">
                  <c:v>314000</c:v>
                </c:pt>
                <c:pt idx="628">
                  <c:v>314500</c:v>
                </c:pt>
                <c:pt idx="629">
                  <c:v>315000</c:v>
                </c:pt>
                <c:pt idx="630">
                  <c:v>315500</c:v>
                </c:pt>
                <c:pt idx="631">
                  <c:v>316000</c:v>
                </c:pt>
                <c:pt idx="632">
                  <c:v>316500</c:v>
                </c:pt>
                <c:pt idx="633">
                  <c:v>317000</c:v>
                </c:pt>
                <c:pt idx="634">
                  <c:v>317500</c:v>
                </c:pt>
                <c:pt idx="635">
                  <c:v>318000</c:v>
                </c:pt>
                <c:pt idx="636">
                  <c:v>318500</c:v>
                </c:pt>
                <c:pt idx="637">
                  <c:v>319000</c:v>
                </c:pt>
                <c:pt idx="638">
                  <c:v>319500</c:v>
                </c:pt>
                <c:pt idx="639">
                  <c:v>320000</c:v>
                </c:pt>
                <c:pt idx="640">
                  <c:v>320500</c:v>
                </c:pt>
                <c:pt idx="641">
                  <c:v>321000</c:v>
                </c:pt>
                <c:pt idx="642">
                  <c:v>321500</c:v>
                </c:pt>
                <c:pt idx="643">
                  <c:v>322000</c:v>
                </c:pt>
                <c:pt idx="644">
                  <c:v>322500</c:v>
                </c:pt>
                <c:pt idx="645">
                  <c:v>323000</c:v>
                </c:pt>
                <c:pt idx="646">
                  <c:v>323500</c:v>
                </c:pt>
                <c:pt idx="647">
                  <c:v>324000</c:v>
                </c:pt>
                <c:pt idx="648">
                  <c:v>324500</c:v>
                </c:pt>
                <c:pt idx="649">
                  <c:v>325000</c:v>
                </c:pt>
                <c:pt idx="650">
                  <c:v>325500</c:v>
                </c:pt>
                <c:pt idx="651">
                  <c:v>326000</c:v>
                </c:pt>
                <c:pt idx="652">
                  <c:v>326500</c:v>
                </c:pt>
                <c:pt idx="653">
                  <c:v>327000</c:v>
                </c:pt>
                <c:pt idx="654">
                  <c:v>327500</c:v>
                </c:pt>
                <c:pt idx="655">
                  <c:v>328000</c:v>
                </c:pt>
                <c:pt idx="656">
                  <c:v>328500</c:v>
                </c:pt>
                <c:pt idx="657">
                  <c:v>329000</c:v>
                </c:pt>
                <c:pt idx="658">
                  <c:v>329500</c:v>
                </c:pt>
                <c:pt idx="659">
                  <c:v>330000</c:v>
                </c:pt>
                <c:pt idx="660">
                  <c:v>330500</c:v>
                </c:pt>
                <c:pt idx="661">
                  <c:v>331000</c:v>
                </c:pt>
                <c:pt idx="662">
                  <c:v>331500</c:v>
                </c:pt>
                <c:pt idx="663">
                  <c:v>332000</c:v>
                </c:pt>
                <c:pt idx="664">
                  <c:v>332500</c:v>
                </c:pt>
                <c:pt idx="665">
                  <c:v>333000</c:v>
                </c:pt>
                <c:pt idx="666">
                  <c:v>333500</c:v>
                </c:pt>
                <c:pt idx="667">
                  <c:v>334000</c:v>
                </c:pt>
                <c:pt idx="668">
                  <c:v>334500</c:v>
                </c:pt>
                <c:pt idx="669">
                  <c:v>335000</c:v>
                </c:pt>
                <c:pt idx="670">
                  <c:v>335500</c:v>
                </c:pt>
                <c:pt idx="671">
                  <c:v>336000</c:v>
                </c:pt>
                <c:pt idx="672">
                  <c:v>336500</c:v>
                </c:pt>
                <c:pt idx="673">
                  <c:v>337000</c:v>
                </c:pt>
                <c:pt idx="674">
                  <c:v>337500</c:v>
                </c:pt>
                <c:pt idx="675">
                  <c:v>338000</c:v>
                </c:pt>
                <c:pt idx="676">
                  <c:v>338500</c:v>
                </c:pt>
                <c:pt idx="677">
                  <c:v>339000</c:v>
                </c:pt>
                <c:pt idx="678">
                  <c:v>339500</c:v>
                </c:pt>
                <c:pt idx="679">
                  <c:v>340000</c:v>
                </c:pt>
                <c:pt idx="680">
                  <c:v>340500</c:v>
                </c:pt>
                <c:pt idx="681">
                  <c:v>341000</c:v>
                </c:pt>
                <c:pt idx="682">
                  <c:v>341500</c:v>
                </c:pt>
                <c:pt idx="683">
                  <c:v>342000</c:v>
                </c:pt>
                <c:pt idx="684">
                  <c:v>342500</c:v>
                </c:pt>
                <c:pt idx="685">
                  <c:v>343000</c:v>
                </c:pt>
                <c:pt idx="686">
                  <c:v>343500</c:v>
                </c:pt>
                <c:pt idx="687">
                  <c:v>344000</c:v>
                </c:pt>
                <c:pt idx="688">
                  <c:v>344500</c:v>
                </c:pt>
                <c:pt idx="689">
                  <c:v>345000</c:v>
                </c:pt>
                <c:pt idx="690">
                  <c:v>345500</c:v>
                </c:pt>
                <c:pt idx="691">
                  <c:v>346000</c:v>
                </c:pt>
                <c:pt idx="692">
                  <c:v>346500</c:v>
                </c:pt>
                <c:pt idx="693">
                  <c:v>347000</c:v>
                </c:pt>
                <c:pt idx="694">
                  <c:v>347500</c:v>
                </c:pt>
                <c:pt idx="695">
                  <c:v>348000</c:v>
                </c:pt>
                <c:pt idx="696">
                  <c:v>348500</c:v>
                </c:pt>
                <c:pt idx="697">
                  <c:v>349000</c:v>
                </c:pt>
                <c:pt idx="698">
                  <c:v>349500</c:v>
                </c:pt>
                <c:pt idx="699">
                  <c:v>350000</c:v>
                </c:pt>
                <c:pt idx="700">
                  <c:v>350500</c:v>
                </c:pt>
                <c:pt idx="701">
                  <c:v>351000</c:v>
                </c:pt>
                <c:pt idx="702">
                  <c:v>351500</c:v>
                </c:pt>
                <c:pt idx="703">
                  <c:v>352000</c:v>
                </c:pt>
              </c:numCache>
            </c:numRef>
          </c:xVal>
          <c:yVal>
            <c:numRef>
              <c:f>Sheet1!$Z$38:$Z$741</c:f>
              <c:numCache>
                <c:formatCode>"$"#,##0_);[Red]\("$"#,##0\)</c:formatCode>
                <c:ptCount val="704"/>
                <c:pt idx="0">
                  <c:v>-225</c:v>
                </c:pt>
                <c:pt idx="1">
                  <c:v>-450</c:v>
                </c:pt>
                <c:pt idx="2">
                  <c:v>-675</c:v>
                </c:pt>
                <c:pt idx="3">
                  <c:v>-900</c:v>
                </c:pt>
                <c:pt idx="4">
                  <c:v>-1125</c:v>
                </c:pt>
                <c:pt idx="5">
                  <c:v>-1350</c:v>
                </c:pt>
                <c:pt idx="6">
                  <c:v>-1650</c:v>
                </c:pt>
                <c:pt idx="7">
                  <c:v>-1950</c:v>
                </c:pt>
                <c:pt idx="8">
                  <c:v>-2250</c:v>
                </c:pt>
                <c:pt idx="9">
                  <c:v>-2550</c:v>
                </c:pt>
                <c:pt idx="10">
                  <c:v>-2850</c:v>
                </c:pt>
                <c:pt idx="11">
                  <c:v>-3150</c:v>
                </c:pt>
                <c:pt idx="12">
                  <c:v>-3450</c:v>
                </c:pt>
                <c:pt idx="13">
                  <c:v>-3750</c:v>
                </c:pt>
                <c:pt idx="14">
                  <c:v>-4050</c:v>
                </c:pt>
                <c:pt idx="15">
                  <c:v>-4350</c:v>
                </c:pt>
                <c:pt idx="16">
                  <c:v>-4650</c:v>
                </c:pt>
                <c:pt idx="17">
                  <c:v>-4950</c:v>
                </c:pt>
                <c:pt idx="18">
                  <c:v>-5250</c:v>
                </c:pt>
                <c:pt idx="19">
                  <c:v>-5550</c:v>
                </c:pt>
                <c:pt idx="20">
                  <c:v>-5850</c:v>
                </c:pt>
                <c:pt idx="21">
                  <c:v>-6150</c:v>
                </c:pt>
                <c:pt idx="22">
                  <c:v>-6450</c:v>
                </c:pt>
                <c:pt idx="23">
                  <c:v>-6750</c:v>
                </c:pt>
                <c:pt idx="24">
                  <c:v>-7050</c:v>
                </c:pt>
                <c:pt idx="25">
                  <c:v>-7350</c:v>
                </c:pt>
                <c:pt idx="26">
                  <c:v>-7650</c:v>
                </c:pt>
                <c:pt idx="27">
                  <c:v>-7919</c:v>
                </c:pt>
                <c:pt idx="28">
                  <c:v>-7994</c:v>
                </c:pt>
                <c:pt idx="29">
                  <c:v>-8069</c:v>
                </c:pt>
                <c:pt idx="30">
                  <c:v>-8144</c:v>
                </c:pt>
                <c:pt idx="31">
                  <c:v>-8219</c:v>
                </c:pt>
                <c:pt idx="32">
                  <c:v>-8294</c:v>
                </c:pt>
                <c:pt idx="33">
                  <c:v>-8369</c:v>
                </c:pt>
                <c:pt idx="34">
                  <c:v>-8444</c:v>
                </c:pt>
                <c:pt idx="35">
                  <c:v>-8519</c:v>
                </c:pt>
                <c:pt idx="36">
                  <c:v>-8594</c:v>
                </c:pt>
                <c:pt idx="37">
                  <c:v>-8669</c:v>
                </c:pt>
                <c:pt idx="38">
                  <c:v>-8744</c:v>
                </c:pt>
                <c:pt idx="39">
                  <c:v>-8819</c:v>
                </c:pt>
                <c:pt idx="40">
                  <c:v>-8894</c:v>
                </c:pt>
                <c:pt idx="41">
                  <c:v>-8969</c:v>
                </c:pt>
                <c:pt idx="42">
                  <c:v>-9044</c:v>
                </c:pt>
                <c:pt idx="43">
                  <c:v>-9119</c:v>
                </c:pt>
                <c:pt idx="44">
                  <c:v>-9194</c:v>
                </c:pt>
                <c:pt idx="45">
                  <c:v>-9269</c:v>
                </c:pt>
                <c:pt idx="46">
                  <c:v>-9344</c:v>
                </c:pt>
                <c:pt idx="47">
                  <c:v>-9364.2446169620634</c:v>
                </c:pt>
                <c:pt idx="48">
                  <c:v>-9333.9458034275667</c:v>
                </c:pt>
                <c:pt idx="49">
                  <c:v>-9303.6469898930718</c:v>
                </c:pt>
                <c:pt idx="50">
                  <c:v>-9273.3481763585769</c:v>
                </c:pt>
                <c:pt idx="51">
                  <c:v>-9243.0493628240802</c:v>
                </c:pt>
                <c:pt idx="52">
                  <c:v>-9212.7505492895853</c:v>
                </c:pt>
                <c:pt idx="53">
                  <c:v>-9182.4517357550903</c:v>
                </c:pt>
                <c:pt idx="54">
                  <c:v>-9152.1529222205936</c:v>
                </c:pt>
                <c:pt idx="55">
                  <c:v>-9121.8541086861005</c:v>
                </c:pt>
                <c:pt idx="56">
                  <c:v>-9091.5552951516038</c:v>
                </c:pt>
                <c:pt idx="57">
                  <c:v>-9061.2564816171089</c:v>
                </c:pt>
                <c:pt idx="58">
                  <c:v>-9030.957668082614</c:v>
                </c:pt>
                <c:pt idx="59">
                  <c:v>-9000.6588545481172</c:v>
                </c:pt>
                <c:pt idx="60">
                  <c:v>-8970.3600410136223</c:v>
                </c:pt>
                <c:pt idx="61">
                  <c:v>-8940.0612274791274</c:v>
                </c:pt>
                <c:pt idx="62">
                  <c:v>-8909.7624139446307</c:v>
                </c:pt>
                <c:pt idx="63">
                  <c:v>-8879.4636004101358</c:v>
                </c:pt>
                <c:pt idx="64">
                  <c:v>-8849.1647868756409</c:v>
                </c:pt>
                <c:pt idx="65">
                  <c:v>-8818.8659733411441</c:v>
                </c:pt>
                <c:pt idx="66">
                  <c:v>-8788.5671598066492</c:v>
                </c:pt>
                <c:pt idx="67">
                  <c:v>-8758.2683462721543</c:v>
                </c:pt>
                <c:pt idx="68">
                  <c:v>-8727.9695327376594</c:v>
                </c:pt>
                <c:pt idx="69">
                  <c:v>-8697.6707192031645</c:v>
                </c:pt>
                <c:pt idx="70">
                  <c:v>-8667.3719056686678</c:v>
                </c:pt>
                <c:pt idx="71">
                  <c:v>-8637.0730921341728</c:v>
                </c:pt>
                <c:pt idx="72">
                  <c:v>-8581.7742785996779</c:v>
                </c:pt>
                <c:pt idx="73">
                  <c:v>-8476.4754650651812</c:v>
                </c:pt>
                <c:pt idx="74">
                  <c:v>-8371.1766515306863</c:v>
                </c:pt>
                <c:pt idx="75">
                  <c:v>-8265.8778379961914</c:v>
                </c:pt>
                <c:pt idx="76">
                  <c:v>-8160.5790244616965</c:v>
                </c:pt>
                <c:pt idx="77">
                  <c:v>-8055.2802109272006</c:v>
                </c:pt>
                <c:pt idx="78">
                  <c:v>-7949.9813973927048</c:v>
                </c:pt>
                <c:pt idx="79">
                  <c:v>-7844.6825838582099</c:v>
                </c:pt>
                <c:pt idx="80">
                  <c:v>-7739.3837703237141</c:v>
                </c:pt>
                <c:pt idx="81">
                  <c:v>-7629.0849567892183</c:v>
                </c:pt>
                <c:pt idx="82">
                  <c:v>-7473.7861432547234</c:v>
                </c:pt>
                <c:pt idx="83">
                  <c:v>-7318.4873297202284</c:v>
                </c:pt>
                <c:pt idx="84">
                  <c:v>-7163.1885161857326</c:v>
                </c:pt>
                <c:pt idx="85">
                  <c:v>-7007.8897026512368</c:v>
                </c:pt>
                <c:pt idx="86">
                  <c:v>-6852.5908891167419</c:v>
                </c:pt>
                <c:pt idx="87">
                  <c:v>-6697.2920755822461</c:v>
                </c:pt>
                <c:pt idx="88">
                  <c:v>-6541.9932620477512</c:v>
                </c:pt>
                <c:pt idx="89">
                  <c:v>-6386.6944485132553</c:v>
                </c:pt>
                <c:pt idx="90">
                  <c:v>-6231.3956349787604</c:v>
                </c:pt>
                <c:pt idx="91">
                  <c:v>-6076.0968214442646</c:v>
                </c:pt>
                <c:pt idx="92">
                  <c:v>-5920.7980079097697</c:v>
                </c:pt>
                <c:pt idx="93">
                  <c:v>-5765.4991943752739</c:v>
                </c:pt>
                <c:pt idx="94">
                  <c:v>-5610.200380840779</c:v>
                </c:pt>
                <c:pt idx="95">
                  <c:v>-5454.9015673062831</c:v>
                </c:pt>
                <c:pt idx="96">
                  <c:v>-5299.6027537717882</c:v>
                </c:pt>
                <c:pt idx="97">
                  <c:v>-5144.3039402372924</c:v>
                </c:pt>
                <c:pt idx="98">
                  <c:v>-4989.0051267027975</c:v>
                </c:pt>
                <c:pt idx="99">
                  <c:v>-4833.7063131683017</c:v>
                </c:pt>
                <c:pt idx="100">
                  <c:v>-4678.4074996338068</c:v>
                </c:pt>
                <c:pt idx="101">
                  <c:v>-4523.1086860993109</c:v>
                </c:pt>
                <c:pt idx="102">
                  <c:v>-4367.8098725648151</c:v>
                </c:pt>
                <c:pt idx="103">
                  <c:v>-4212.5110590303202</c:v>
                </c:pt>
                <c:pt idx="104">
                  <c:v>-4057.2122454958244</c:v>
                </c:pt>
                <c:pt idx="105">
                  <c:v>-3901.9134319613295</c:v>
                </c:pt>
                <c:pt idx="106">
                  <c:v>-3746.6146184268337</c:v>
                </c:pt>
                <c:pt idx="107">
                  <c:v>-3695</c:v>
                </c:pt>
                <c:pt idx="108">
                  <c:v>-3645</c:v>
                </c:pt>
                <c:pt idx="109">
                  <c:v>-3595</c:v>
                </c:pt>
                <c:pt idx="110">
                  <c:v>-3545</c:v>
                </c:pt>
                <c:pt idx="111">
                  <c:v>-3495</c:v>
                </c:pt>
                <c:pt idx="112">
                  <c:v>-3445</c:v>
                </c:pt>
                <c:pt idx="113">
                  <c:v>-3395</c:v>
                </c:pt>
                <c:pt idx="114">
                  <c:v>-3345</c:v>
                </c:pt>
                <c:pt idx="115">
                  <c:v>-3295</c:v>
                </c:pt>
                <c:pt idx="116">
                  <c:v>-3245</c:v>
                </c:pt>
                <c:pt idx="117">
                  <c:v>-3195</c:v>
                </c:pt>
                <c:pt idx="118">
                  <c:v>-3145</c:v>
                </c:pt>
                <c:pt idx="119">
                  <c:v>-3070</c:v>
                </c:pt>
                <c:pt idx="120">
                  <c:v>-2995</c:v>
                </c:pt>
                <c:pt idx="121">
                  <c:v>-2920</c:v>
                </c:pt>
                <c:pt idx="122">
                  <c:v>-2845</c:v>
                </c:pt>
                <c:pt idx="123">
                  <c:v>-2770</c:v>
                </c:pt>
                <c:pt idx="124">
                  <c:v>-2695</c:v>
                </c:pt>
                <c:pt idx="125">
                  <c:v>-2620</c:v>
                </c:pt>
                <c:pt idx="126">
                  <c:v>-2545</c:v>
                </c:pt>
                <c:pt idx="127">
                  <c:v>-2470</c:v>
                </c:pt>
                <c:pt idx="128">
                  <c:v>-2395</c:v>
                </c:pt>
                <c:pt idx="129">
                  <c:v>-2320</c:v>
                </c:pt>
                <c:pt idx="130">
                  <c:v>-2245</c:v>
                </c:pt>
                <c:pt idx="131">
                  <c:v>-2170</c:v>
                </c:pt>
                <c:pt idx="132">
                  <c:v>-2095</c:v>
                </c:pt>
                <c:pt idx="133">
                  <c:v>-2020</c:v>
                </c:pt>
                <c:pt idx="134">
                  <c:v>-1945</c:v>
                </c:pt>
                <c:pt idx="135">
                  <c:v>-1870</c:v>
                </c:pt>
                <c:pt idx="136">
                  <c:v>-1795</c:v>
                </c:pt>
                <c:pt idx="137">
                  <c:v>-1720</c:v>
                </c:pt>
                <c:pt idx="138">
                  <c:v>-1645</c:v>
                </c:pt>
                <c:pt idx="139">
                  <c:v>-1570</c:v>
                </c:pt>
                <c:pt idx="140">
                  <c:v>-1495</c:v>
                </c:pt>
                <c:pt idx="141">
                  <c:v>-1420</c:v>
                </c:pt>
                <c:pt idx="142">
                  <c:v>-1345</c:v>
                </c:pt>
                <c:pt idx="143">
                  <c:v>-1270</c:v>
                </c:pt>
                <c:pt idx="144">
                  <c:v>-1195</c:v>
                </c:pt>
                <c:pt idx="145">
                  <c:v>-1120</c:v>
                </c:pt>
                <c:pt idx="146">
                  <c:v>-1045</c:v>
                </c:pt>
                <c:pt idx="147">
                  <c:v>-970</c:v>
                </c:pt>
                <c:pt idx="148">
                  <c:v>-895</c:v>
                </c:pt>
                <c:pt idx="149">
                  <c:v>-820</c:v>
                </c:pt>
                <c:pt idx="150">
                  <c:v>-745</c:v>
                </c:pt>
                <c:pt idx="151">
                  <c:v>-670</c:v>
                </c:pt>
                <c:pt idx="152">
                  <c:v>-595</c:v>
                </c:pt>
                <c:pt idx="153">
                  <c:v>-520</c:v>
                </c:pt>
                <c:pt idx="154">
                  <c:v>-445</c:v>
                </c:pt>
                <c:pt idx="155">
                  <c:v>-370</c:v>
                </c:pt>
                <c:pt idx="156">
                  <c:v>-295</c:v>
                </c:pt>
                <c:pt idx="157">
                  <c:v>-220</c:v>
                </c:pt>
                <c:pt idx="158">
                  <c:v>-145</c:v>
                </c:pt>
                <c:pt idx="159">
                  <c:v>-70</c:v>
                </c:pt>
                <c:pt idx="160">
                  <c:v>5</c:v>
                </c:pt>
                <c:pt idx="161">
                  <c:v>80</c:v>
                </c:pt>
                <c:pt idx="162">
                  <c:v>155</c:v>
                </c:pt>
                <c:pt idx="163">
                  <c:v>230</c:v>
                </c:pt>
                <c:pt idx="164">
                  <c:v>305</c:v>
                </c:pt>
                <c:pt idx="165">
                  <c:v>380</c:v>
                </c:pt>
                <c:pt idx="166">
                  <c:v>455</c:v>
                </c:pt>
                <c:pt idx="167">
                  <c:v>530</c:v>
                </c:pt>
                <c:pt idx="168">
                  <c:v>605</c:v>
                </c:pt>
                <c:pt idx="169">
                  <c:v>680</c:v>
                </c:pt>
                <c:pt idx="170">
                  <c:v>755</c:v>
                </c:pt>
                <c:pt idx="171">
                  <c:v>830</c:v>
                </c:pt>
                <c:pt idx="172">
                  <c:v>905</c:v>
                </c:pt>
                <c:pt idx="173">
                  <c:v>980</c:v>
                </c:pt>
                <c:pt idx="174">
                  <c:v>1055</c:v>
                </c:pt>
                <c:pt idx="175">
                  <c:v>1130</c:v>
                </c:pt>
                <c:pt idx="176">
                  <c:v>1205</c:v>
                </c:pt>
                <c:pt idx="177">
                  <c:v>1280</c:v>
                </c:pt>
                <c:pt idx="178">
                  <c:v>1355</c:v>
                </c:pt>
                <c:pt idx="179">
                  <c:v>1430</c:v>
                </c:pt>
                <c:pt idx="180">
                  <c:v>1505</c:v>
                </c:pt>
                <c:pt idx="181">
                  <c:v>1580</c:v>
                </c:pt>
                <c:pt idx="182">
                  <c:v>1655</c:v>
                </c:pt>
                <c:pt idx="183">
                  <c:v>1730</c:v>
                </c:pt>
                <c:pt idx="184">
                  <c:v>1805</c:v>
                </c:pt>
                <c:pt idx="185">
                  <c:v>1880</c:v>
                </c:pt>
                <c:pt idx="186">
                  <c:v>1955</c:v>
                </c:pt>
                <c:pt idx="187">
                  <c:v>2030</c:v>
                </c:pt>
                <c:pt idx="188">
                  <c:v>2105</c:v>
                </c:pt>
                <c:pt idx="189">
                  <c:v>2180</c:v>
                </c:pt>
                <c:pt idx="190">
                  <c:v>2255</c:v>
                </c:pt>
                <c:pt idx="191">
                  <c:v>2330</c:v>
                </c:pt>
                <c:pt idx="192">
                  <c:v>2405</c:v>
                </c:pt>
                <c:pt idx="193">
                  <c:v>2480</c:v>
                </c:pt>
                <c:pt idx="194">
                  <c:v>2555</c:v>
                </c:pt>
                <c:pt idx="195">
                  <c:v>2630</c:v>
                </c:pt>
                <c:pt idx="196">
                  <c:v>2705</c:v>
                </c:pt>
                <c:pt idx="197">
                  <c:v>2780</c:v>
                </c:pt>
                <c:pt idx="198">
                  <c:v>2855</c:v>
                </c:pt>
                <c:pt idx="199">
                  <c:v>2930</c:v>
                </c:pt>
                <c:pt idx="200">
                  <c:v>3005</c:v>
                </c:pt>
                <c:pt idx="201">
                  <c:v>3080</c:v>
                </c:pt>
                <c:pt idx="202">
                  <c:v>3155</c:v>
                </c:pt>
                <c:pt idx="203">
                  <c:v>3230</c:v>
                </c:pt>
                <c:pt idx="204">
                  <c:v>3305</c:v>
                </c:pt>
                <c:pt idx="205">
                  <c:v>3380</c:v>
                </c:pt>
                <c:pt idx="206">
                  <c:v>3455</c:v>
                </c:pt>
                <c:pt idx="207">
                  <c:v>3530</c:v>
                </c:pt>
                <c:pt idx="208">
                  <c:v>3605</c:v>
                </c:pt>
                <c:pt idx="209">
                  <c:v>3680</c:v>
                </c:pt>
                <c:pt idx="210">
                  <c:v>3755</c:v>
                </c:pt>
                <c:pt idx="211">
                  <c:v>3830</c:v>
                </c:pt>
                <c:pt idx="212">
                  <c:v>3905</c:v>
                </c:pt>
                <c:pt idx="213">
                  <c:v>3980</c:v>
                </c:pt>
                <c:pt idx="214">
                  <c:v>4055</c:v>
                </c:pt>
                <c:pt idx="215">
                  <c:v>4130</c:v>
                </c:pt>
                <c:pt idx="216">
                  <c:v>4205</c:v>
                </c:pt>
                <c:pt idx="217">
                  <c:v>4280</c:v>
                </c:pt>
                <c:pt idx="218">
                  <c:v>4355</c:v>
                </c:pt>
                <c:pt idx="219">
                  <c:v>4430</c:v>
                </c:pt>
                <c:pt idx="220">
                  <c:v>4530</c:v>
                </c:pt>
                <c:pt idx="221">
                  <c:v>4630</c:v>
                </c:pt>
                <c:pt idx="222">
                  <c:v>4730</c:v>
                </c:pt>
                <c:pt idx="223">
                  <c:v>4830</c:v>
                </c:pt>
                <c:pt idx="224">
                  <c:v>4930</c:v>
                </c:pt>
                <c:pt idx="225">
                  <c:v>5030</c:v>
                </c:pt>
                <c:pt idx="226">
                  <c:v>5130</c:v>
                </c:pt>
                <c:pt idx="227">
                  <c:v>5230</c:v>
                </c:pt>
                <c:pt idx="228">
                  <c:v>5330</c:v>
                </c:pt>
                <c:pt idx="229">
                  <c:v>5430</c:v>
                </c:pt>
                <c:pt idx="230">
                  <c:v>5530</c:v>
                </c:pt>
                <c:pt idx="231">
                  <c:v>5630</c:v>
                </c:pt>
                <c:pt idx="232">
                  <c:v>5755</c:v>
                </c:pt>
                <c:pt idx="233">
                  <c:v>5905</c:v>
                </c:pt>
                <c:pt idx="234">
                  <c:v>6055</c:v>
                </c:pt>
                <c:pt idx="235">
                  <c:v>6205</c:v>
                </c:pt>
                <c:pt idx="236">
                  <c:v>6355</c:v>
                </c:pt>
                <c:pt idx="237">
                  <c:v>6505</c:v>
                </c:pt>
                <c:pt idx="238">
                  <c:v>6655</c:v>
                </c:pt>
                <c:pt idx="239">
                  <c:v>6805</c:v>
                </c:pt>
                <c:pt idx="240">
                  <c:v>6955</c:v>
                </c:pt>
                <c:pt idx="241">
                  <c:v>7105</c:v>
                </c:pt>
                <c:pt idx="242">
                  <c:v>7255</c:v>
                </c:pt>
                <c:pt idx="243">
                  <c:v>7405</c:v>
                </c:pt>
                <c:pt idx="244">
                  <c:v>7555</c:v>
                </c:pt>
                <c:pt idx="245">
                  <c:v>7705</c:v>
                </c:pt>
                <c:pt idx="246">
                  <c:v>7855</c:v>
                </c:pt>
                <c:pt idx="247">
                  <c:v>8005</c:v>
                </c:pt>
                <c:pt idx="248">
                  <c:v>8155</c:v>
                </c:pt>
                <c:pt idx="249">
                  <c:v>8305</c:v>
                </c:pt>
                <c:pt idx="250">
                  <c:v>8455</c:v>
                </c:pt>
                <c:pt idx="251">
                  <c:v>8605</c:v>
                </c:pt>
                <c:pt idx="252">
                  <c:v>8755</c:v>
                </c:pt>
                <c:pt idx="253">
                  <c:v>8905</c:v>
                </c:pt>
                <c:pt idx="254">
                  <c:v>9055</c:v>
                </c:pt>
                <c:pt idx="255">
                  <c:v>9205</c:v>
                </c:pt>
                <c:pt idx="256">
                  <c:v>9355</c:v>
                </c:pt>
                <c:pt idx="257">
                  <c:v>9505</c:v>
                </c:pt>
                <c:pt idx="258">
                  <c:v>9655</c:v>
                </c:pt>
                <c:pt idx="259">
                  <c:v>9805</c:v>
                </c:pt>
                <c:pt idx="260">
                  <c:v>9955</c:v>
                </c:pt>
                <c:pt idx="261">
                  <c:v>10105</c:v>
                </c:pt>
                <c:pt idx="262">
                  <c:v>10255</c:v>
                </c:pt>
                <c:pt idx="263">
                  <c:v>10405</c:v>
                </c:pt>
                <c:pt idx="264">
                  <c:v>10555</c:v>
                </c:pt>
                <c:pt idx="265">
                  <c:v>10705</c:v>
                </c:pt>
                <c:pt idx="266">
                  <c:v>10855</c:v>
                </c:pt>
                <c:pt idx="267">
                  <c:v>11005</c:v>
                </c:pt>
                <c:pt idx="268">
                  <c:v>11155</c:v>
                </c:pt>
                <c:pt idx="269">
                  <c:v>11305</c:v>
                </c:pt>
                <c:pt idx="270">
                  <c:v>11455</c:v>
                </c:pt>
                <c:pt idx="271">
                  <c:v>11605</c:v>
                </c:pt>
                <c:pt idx="272">
                  <c:v>11755</c:v>
                </c:pt>
                <c:pt idx="273">
                  <c:v>11905</c:v>
                </c:pt>
                <c:pt idx="274">
                  <c:v>12055</c:v>
                </c:pt>
                <c:pt idx="275">
                  <c:v>12205</c:v>
                </c:pt>
                <c:pt idx="276">
                  <c:v>12355</c:v>
                </c:pt>
                <c:pt idx="277">
                  <c:v>12505</c:v>
                </c:pt>
                <c:pt idx="278">
                  <c:v>12655</c:v>
                </c:pt>
                <c:pt idx="279">
                  <c:v>12805</c:v>
                </c:pt>
                <c:pt idx="280">
                  <c:v>12955</c:v>
                </c:pt>
                <c:pt idx="281">
                  <c:v>13105</c:v>
                </c:pt>
                <c:pt idx="282">
                  <c:v>13255</c:v>
                </c:pt>
                <c:pt idx="283">
                  <c:v>13405</c:v>
                </c:pt>
                <c:pt idx="284">
                  <c:v>13555</c:v>
                </c:pt>
                <c:pt idx="285">
                  <c:v>13705</c:v>
                </c:pt>
                <c:pt idx="286">
                  <c:v>13855</c:v>
                </c:pt>
                <c:pt idx="287">
                  <c:v>14005</c:v>
                </c:pt>
                <c:pt idx="288">
                  <c:v>14155</c:v>
                </c:pt>
                <c:pt idx="289">
                  <c:v>14305</c:v>
                </c:pt>
                <c:pt idx="290">
                  <c:v>14455</c:v>
                </c:pt>
                <c:pt idx="291">
                  <c:v>14605</c:v>
                </c:pt>
                <c:pt idx="292">
                  <c:v>14755</c:v>
                </c:pt>
                <c:pt idx="293">
                  <c:v>14905</c:v>
                </c:pt>
                <c:pt idx="294">
                  <c:v>15055</c:v>
                </c:pt>
                <c:pt idx="295">
                  <c:v>15205</c:v>
                </c:pt>
                <c:pt idx="296">
                  <c:v>15355</c:v>
                </c:pt>
                <c:pt idx="297">
                  <c:v>15505</c:v>
                </c:pt>
                <c:pt idx="298">
                  <c:v>15655</c:v>
                </c:pt>
                <c:pt idx="299">
                  <c:v>15805</c:v>
                </c:pt>
                <c:pt idx="300">
                  <c:v>15955</c:v>
                </c:pt>
                <c:pt idx="301">
                  <c:v>16105</c:v>
                </c:pt>
                <c:pt idx="302">
                  <c:v>16255</c:v>
                </c:pt>
                <c:pt idx="303">
                  <c:v>16405</c:v>
                </c:pt>
                <c:pt idx="304">
                  <c:v>16555</c:v>
                </c:pt>
                <c:pt idx="305">
                  <c:v>16705</c:v>
                </c:pt>
                <c:pt idx="306">
                  <c:v>16855</c:v>
                </c:pt>
                <c:pt idx="307">
                  <c:v>17005</c:v>
                </c:pt>
                <c:pt idx="308">
                  <c:v>17155</c:v>
                </c:pt>
                <c:pt idx="309">
                  <c:v>17305</c:v>
                </c:pt>
                <c:pt idx="310">
                  <c:v>17455</c:v>
                </c:pt>
                <c:pt idx="311">
                  <c:v>17605</c:v>
                </c:pt>
                <c:pt idx="312">
                  <c:v>17755</c:v>
                </c:pt>
                <c:pt idx="313">
                  <c:v>17905</c:v>
                </c:pt>
                <c:pt idx="314">
                  <c:v>18055</c:v>
                </c:pt>
                <c:pt idx="315">
                  <c:v>18205</c:v>
                </c:pt>
                <c:pt idx="316">
                  <c:v>18355</c:v>
                </c:pt>
                <c:pt idx="317">
                  <c:v>18505</c:v>
                </c:pt>
                <c:pt idx="318">
                  <c:v>18655</c:v>
                </c:pt>
                <c:pt idx="319">
                  <c:v>18805</c:v>
                </c:pt>
                <c:pt idx="320">
                  <c:v>18955</c:v>
                </c:pt>
                <c:pt idx="321">
                  <c:v>19105</c:v>
                </c:pt>
                <c:pt idx="322">
                  <c:v>19255</c:v>
                </c:pt>
                <c:pt idx="323">
                  <c:v>19405</c:v>
                </c:pt>
                <c:pt idx="324">
                  <c:v>19555</c:v>
                </c:pt>
                <c:pt idx="325">
                  <c:v>19705</c:v>
                </c:pt>
                <c:pt idx="326">
                  <c:v>19855</c:v>
                </c:pt>
                <c:pt idx="327">
                  <c:v>20005</c:v>
                </c:pt>
                <c:pt idx="328">
                  <c:v>20155</c:v>
                </c:pt>
                <c:pt idx="329">
                  <c:v>20305</c:v>
                </c:pt>
                <c:pt idx="330">
                  <c:v>20455</c:v>
                </c:pt>
                <c:pt idx="331">
                  <c:v>20605</c:v>
                </c:pt>
                <c:pt idx="332">
                  <c:v>20755</c:v>
                </c:pt>
                <c:pt idx="333">
                  <c:v>20905</c:v>
                </c:pt>
                <c:pt idx="334">
                  <c:v>21055</c:v>
                </c:pt>
                <c:pt idx="335">
                  <c:v>21205</c:v>
                </c:pt>
                <c:pt idx="336">
                  <c:v>21355</c:v>
                </c:pt>
                <c:pt idx="337">
                  <c:v>21505</c:v>
                </c:pt>
                <c:pt idx="338">
                  <c:v>21655</c:v>
                </c:pt>
                <c:pt idx="339">
                  <c:v>21805</c:v>
                </c:pt>
                <c:pt idx="340">
                  <c:v>21955</c:v>
                </c:pt>
                <c:pt idx="341">
                  <c:v>22105</c:v>
                </c:pt>
                <c:pt idx="342">
                  <c:v>22255</c:v>
                </c:pt>
                <c:pt idx="343">
                  <c:v>22405</c:v>
                </c:pt>
                <c:pt idx="344">
                  <c:v>22555</c:v>
                </c:pt>
                <c:pt idx="345">
                  <c:v>22705</c:v>
                </c:pt>
                <c:pt idx="346">
                  <c:v>22855</c:v>
                </c:pt>
                <c:pt idx="347">
                  <c:v>23005</c:v>
                </c:pt>
                <c:pt idx="348">
                  <c:v>23155</c:v>
                </c:pt>
                <c:pt idx="349">
                  <c:v>23305</c:v>
                </c:pt>
                <c:pt idx="350">
                  <c:v>23455</c:v>
                </c:pt>
                <c:pt idx="351">
                  <c:v>23605</c:v>
                </c:pt>
                <c:pt idx="352">
                  <c:v>23755</c:v>
                </c:pt>
                <c:pt idx="353">
                  <c:v>23905</c:v>
                </c:pt>
                <c:pt idx="354">
                  <c:v>24055</c:v>
                </c:pt>
                <c:pt idx="355">
                  <c:v>24205</c:v>
                </c:pt>
                <c:pt idx="356">
                  <c:v>24355</c:v>
                </c:pt>
                <c:pt idx="357">
                  <c:v>24505</c:v>
                </c:pt>
                <c:pt idx="358">
                  <c:v>24655</c:v>
                </c:pt>
                <c:pt idx="359">
                  <c:v>24831.5</c:v>
                </c:pt>
                <c:pt idx="360">
                  <c:v>25019</c:v>
                </c:pt>
                <c:pt idx="361">
                  <c:v>25206.5</c:v>
                </c:pt>
                <c:pt idx="362">
                  <c:v>25394</c:v>
                </c:pt>
                <c:pt idx="363">
                  <c:v>25581.5</c:v>
                </c:pt>
                <c:pt idx="364">
                  <c:v>25769</c:v>
                </c:pt>
                <c:pt idx="365">
                  <c:v>25956.5</c:v>
                </c:pt>
                <c:pt idx="366">
                  <c:v>26144</c:v>
                </c:pt>
                <c:pt idx="367">
                  <c:v>26331.5</c:v>
                </c:pt>
                <c:pt idx="368">
                  <c:v>26519</c:v>
                </c:pt>
                <c:pt idx="369">
                  <c:v>26706.5</c:v>
                </c:pt>
                <c:pt idx="370">
                  <c:v>26894</c:v>
                </c:pt>
                <c:pt idx="371">
                  <c:v>27081.5</c:v>
                </c:pt>
                <c:pt idx="372">
                  <c:v>27269</c:v>
                </c:pt>
                <c:pt idx="373">
                  <c:v>27456.5</c:v>
                </c:pt>
                <c:pt idx="374">
                  <c:v>27644</c:v>
                </c:pt>
                <c:pt idx="375">
                  <c:v>27831.5</c:v>
                </c:pt>
                <c:pt idx="376">
                  <c:v>28019</c:v>
                </c:pt>
                <c:pt idx="377">
                  <c:v>28206.5</c:v>
                </c:pt>
                <c:pt idx="378">
                  <c:v>28394</c:v>
                </c:pt>
                <c:pt idx="379">
                  <c:v>28581.5</c:v>
                </c:pt>
                <c:pt idx="380">
                  <c:v>28769</c:v>
                </c:pt>
                <c:pt idx="381">
                  <c:v>28956.5</c:v>
                </c:pt>
                <c:pt idx="382">
                  <c:v>29144</c:v>
                </c:pt>
                <c:pt idx="383">
                  <c:v>29331.5</c:v>
                </c:pt>
                <c:pt idx="384">
                  <c:v>29519</c:v>
                </c:pt>
                <c:pt idx="385">
                  <c:v>29706.5</c:v>
                </c:pt>
                <c:pt idx="386">
                  <c:v>29894</c:v>
                </c:pt>
                <c:pt idx="387">
                  <c:v>30081.5</c:v>
                </c:pt>
                <c:pt idx="388">
                  <c:v>30269</c:v>
                </c:pt>
                <c:pt idx="389">
                  <c:v>30456.5</c:v>
                </c:pt>
                <c:pt idx="390">
                  <c:v>30644</c:v>
                </c:pt>
                <c:pt idx="391">
                  <c:v>30831.5</c:v>
                </c:pt>
                <c:pt idx="392">
                  <c:v>31019</c:v>
                </c:pt>
                <c:pt idx="393">
                  <c:v>31206.5</c:v>
                </c:pt>
                <c:pt idx="394">
                  <c:v>31394</c:v>
                </c:pt>
                <c:pt idx="395">
                  <c:v>31581.5</c:v>
                </c:pt>
                <c:pt idx="396">
                  <c:v>31769</c:v>
                </c:pt>
                <c:pt idx="397">
                  <c:v>31956.5</c:v>
                </c:pt>
                <c:pt idx="398">
                  <c:v>32144</c:v>
                </c:pt>
                <c:pt idx="399">
                  <c:v>32331.5</c:v>
                </c:pt>
                <c:pt idx="400">
                  <c:v>32519</c:v>
                </c:pt>
                <c:pt idx="401">
                  <c:v>32706.5</c:v>
                </c:pt>
                <c:pt idx="402">
                  <c:v>32894</c:v>
                </c:pt>
                <c:pt idx="403">
                  <c:v>33081.5</c:v>
                </c:pt>
                <c:pt idx="404">
                  <c:v>33269</c:v>
                </c:pt>
                <c:pt idx="405">
                  <c:v>33456.5</c:v>
                </c:pt>
                <c:pt idx="406">
                  <c:v>33644</c:v>
                </c:pt>
                <c:pt idx="407">
                  <c:v>33831.5</c:v>
                </c:pt>
                <c:pt idx="408">
                  <c:v>34019</c:v>
                </c:pt>
                <c:pt idx="409">
                  <c:v>34206.5</c:v>
                </c:pt>
                <c:pt idx="410">
                  <c:v>34394</c:v>
                </c:pt>
                <c:pt idx="411">
                  <c:v>34581.5</c:v>
                </c:pt>
                <c:pt idx="412">
                  <c:v>34769</c:v>
                </c:pt>
                <c:pt idx="413">
                  <c:v>34956.5</c:v>
                </c:pt>
                <c:pt idx="414">
                  <c:v>35144</c:v>
                </c:pt>
                <c:pt idx="415">
                  <c:v>35331.5</c:v>
                </c:pt>
                <c:pt idx="416">
                  <c:v>35519</c:v>
                </c:pt>
                <c:pt idx="417">
                  <c:v>35706.5</c:v>
                </c:pt>
                <c:pt idx="418">
                  <c:v>35894</c:v>
                </c:pt>
                <c:pt idx="419">
                  <c:v>36081.5</c:v>
                </c:pt>
                <c:pt idx="420">
                  <c:v>36244</c:v>
                </c:pt>
                <c:pt idx="421">
                  <c:v>36406.5</c:v>
                </c:pt>
                <c:pt idx="422">
                  <c:v>36569</c:v>
                </c:pt>
                <c:pt idx="423">
                  <c:v>36731.5</c:v>
                </c:pt>
                <c:pt idx="424">
                  <c:v>36894</c:v>
                </c:pt>
                <c:pt idx="425">
                  <c:v>37056.5</c:v>
                </c:pt>
                <c:pt idx="426">
                  <c:v>37219</c:v>
                </c:pt>
                <c:pt idx="427">
                  <c:v>37381.5</c:v>
                </c:pt>
                <c:pt idx="428">
                  <c:v>37544</c:v>
                </c:pt>
                <c:pt idx="429">
                  <c:v>37706.5</c:v>
                </c:pt>
                <c:pt idx="430">
                  <c:v>37869</c:v>
                </c:pt>
                <c:pt idx="431">
                  <c:v>38031.5</c:v>
                </c:pt>
                <c:pt idx="432">
                  <c:v>38194</c:v>
                </c:pt>
                <c:pt idx="433">
                  <c:v>38356.5</c:v>
                </c:pt>
                <c:pt idx="434">
                  <c:v>38519</c:v>
                </c:pt>
                <c:pt idx="435">
                  <c:v>38681.5</c:v>
                </c:pt>
                <c:pt idx="436">
                  <c:v>38844</c:v>
                </c:pt>
                <c:pt idx="437">
                  <c:v>39006.5</c:v>
                </c:pt>
                <c:pt idx="438">
                  <c:v>39169</c:v>
                </c:pt>
                <c:pt idx="439">
                  <c:v>39331.5</c:v>
                </c:pt>
                <c:pt idx="440">
                  <c:v>39494</c:v>
                </c:pt>
                <c:pt idx="441">
                  <c:v>39656.5</c:v>
                </c:pt>
                <c:pt idx="442">
                  <c:v>39819</c:v>
                </c:pt>
                <c:pt idx="443">
                  <c:v>39981.5</c:v>
                </c:pt>
                <c:pt idx="444">
                  <c:v>40144</c:v>
                </c:pt>
                <c:pt idx="445">
                  <c:v>40306.5</c:v>
                </c:pt>
                <c:pt idx="446">
                  <c:v>40469</c:v>
                </c:pt>
                <c:pt idx="447">
                  <c:v>40631.5</c:v>
                </c:pt>
                <c:pt idx="448">
                  <c:v>40794</c:v>
                </c:pt>
                <c:pt idx="449">
                  <c:v>40956.5</c:v>
                </c:pt>
                <c:pt idx="450">
                  <c:v>41119</c:v>
                </c:pt>
                <c:pt idx="451">
                  <c:v>41281.5</c:v>
                </c:pt>
                <c:pt idx="452">
                  <c:v>41444</c:v>
                </c:pt>
                <c:pt idx="453">
                  <c:v>41606.5</c:v>
                </c:pt>
                <c:pt idx="454">
                  <c:v>41769</c:v>
                </c:pt>
                <c:pt idx="455">
                  <c:v>41931.5</c:v>
                </c:pt>
                <c:pt idx="456">
                  <c:v>42094</c:v>
                </c:pt>
                <c:pt idx="457">
                  <c:v>42256.5</c:v>
                </c:pt>
                <c:pt idx="458">
                  <c:v>42419</c:v>
                </c:pt>
                <c:pt idx="459">
                  <c:v>42581.5</c:v>
                </c:pt>
                <c:pt idx="460">
                  <c:v>42744</c:v>
                </c:pt>
                <c:pt idx="461">
                  <c:v>42906.5</c:v>
                </c:pt>
                <c:pt idx="462">
                  <c:v>43069</c:v>
                </c:pt>
                <c:pt idx="463">
                  <c:v>43231.5</c:v>
                </c:pt>
                <c:pt idx="464">
                  <c:v>43394</c:v>
                </c:pt>
                <c:pt idx="465">
                  <c:v>43556.5</c:v>
                </c:pt>
                <c:pt idx="466">
                  <c:v>43719</c:v>
                </c:pt>
                <c:pt idx="467">
                  <c:v>43881.5</c:v>
                </c:pt>
                <c:pt idx="468">
                  <c:v>44044</c:v>
                </c:pt>
                <c:pt idx="469">
                  <c:v>44206.5</c:v>
                </c:pt>
                <c:pt idx="470">
                  <c:v>44369</c:v>
                </c:pt>
                <c:pt idx="471">
                  <c:v>44531.5</c:v>
                </c:pt>
                <c:pt idx="472">
                  <c:v>44694</c:v>
                </c:pt>
                <c:pt idx="473">
                  <c:v>44856.5</c:v>
                </c:pt>
                <c:pt idx="474">
                  <c:v>45019</c:v>
                </c:pt>
                <c:pt idx="475">
                  <c:v>45181.5</c:v>
                </c:pt>
                <c:pt idx="476">
                  <c:v>45344</c:v>
                </c:pt>
                <c:pt idx="477">
                  <c:v>45506.5</c:v>
                </c:pt>
                <c:pt idx="478">
                  <c:v>45669</c:v>
                </c:pt>
                <c:pt idx="479">
                  <c:v>45831.5</c:v>
                </c:pt>
                <c:pt idx="480">
                  <c:v>45994</c:v>
                </c:pt>
                <c:pt idx="481">
                  <c:v>46156.5</c:v>
                </c:pt>
                <c:pt idx="482">
                  <c:v>46319</c:v>
                </c:pt>
                <c:pt idx="483">
                  <c:v>46481.5</c:v>
                </c:pt>
                <c:pt idx="484">
                  <c:v>46644</c:v>
                </c:pt>
                <c:pt idx="485">
                  <c:v>46806.5</c:v>
                </c:pt>
                <c:pt idx="486">
                  <c:v>46969</c:v>
                </c:pt>
                <c:pt idx="487">
                  <c:v>47131.5</c:v>
                </c:pt>
                <c:pt idx="488">
                  <c:v>47294</c:v>
                </c:pt>
                <c:pt idx="489">
                  <c:v>47456.5</c:v>
                </c:pt>
                <c:pt idx="490">
                  <c:v>47619</c:v>
                </c:pt>
                <c:pt idx="491">
                  <c:v>47781.5</c:v>
                </c:pt>
                <c:pt idx="492">
                  <c:v>47944</c:v>
                </c:pt>
                <c:pt idx="493">
                  <c:v>48106.5</c:v>
                </c:pt>
                <c:pt idx="494">
                  <c:v>48269</c:v>
                </c:pt>
                <c:pt idx="495">
                  <c:v>48431.5</c:v>
                </c:pt>
                <c:pt idx="496">
                  <c:v>48606</c:v>
                </c:pt>
                <c:pt idx="497">
                  <c:v>48781</c:v>
                </c:pt>
                <c:pt idx="498">
                  <c:v>48956</c:v>
                </c:pt>
                <c:pt idx="499">
                  <c:v>49131</c:v>
                </c:pt>
                <c:pt idx="500">
                  <c:v>49310.5</c:v>
                </c:pt>
                <c:pt idx="501">
                  <c:v>49490</c:v>
                </c:pt>
                <c:pt idx="502">
                  <c:v>49669.5</c:v>
                </c:pt>
                <c:pt idx="503">
                  <c:v>49849</c:v>
                </c:pt>
                <c:pt idx="504">
                  <c:v>50028.5</c:v>
                </c:pt>
                <c:pt idx="505">
                  <c:v>50208</c:v>
                </c:pt>
                <c:pt idx="506">
                  <c:v>50387.5</c:v>
                </c:pt>
                <c:pt idx="507">
                  <c:v>50567</c:v>
                </c:pt>
                <c:pt idx="508">
                  <c:v>50746.5</c:v>
                </c:pt>
                <c:pt idx="509">
                  <c:v>50926</c:v>
                </c:pt>
                <c:pt idx="510">
                  <c:v>51105.5</c:v>
                </c:pt>
                <c:pt idx="511">
                  <c:v>51285</c:v>
                </c:pt>
                <c:pt idx="512">
                  <c:v>51464.5</c:v>
                </c:pt>
                <c:pt idx="513">
                  <c:v>51644</c:v>
                </c:pt>
                <c:pt idx="514">
                  <c:v>51823.5</c:v>
                </c:pt>
                <c:pt idx="515">
                  <c:v>52003</c:v>
                </c:pt>
                <c:pt idx="516">
                  <c:v>52182.5</c:v>
                </c:pt>
                <c:pt idx="517">
                  <c:v>52362</c:v>
                </c:pt>
                <c:pt idx="518">
                  <c:v>52541.5</c:v>
                </c:pt>
                <c:pt idx="519">
                  <c:v>52721</c:v>
                </c:pt>
                <c:pt idx="520">
                  <c:v>52900.5</c:v>
                </c:pt>
                <c:pt idx="521">
                  <c:v>53080</c:v>
                </c:pt>
                <c:pt idx="522">
                  <c:v>53259.5</c:v>
                </c:pt>
                <c:pt idx="523">
                  <c:v>53439</c:v>
                </c:pt>
                <c:pt idx="524">
                  <c:v>53618.5</c:v>
                </c:pt>
                <c:pt idx="525">
                  <c:v>53798</c:v>
                </c:pt>
                <c:pt idx="526">
                  <c:v>53977.5</c:v>
                </c:pt>
                <c:pt idx="527">
                  <c:v>54157</c:v>
                </c:pt>
                <c:pt idx="528">
                  <c:v>54336.5</c:v>
                </c:pt>
                <c:pt idx="529">
                  <c:v>54516</c:v>
                </c:pt>
                <c:pt idx="530">
                  <c:v>54695.5</c:v>
                </c:pt>
                <c:pt idx="531">
                  <c:v>54875</c:v>
                </c:pt>
                <c:pt idx="532">
                  <c:v>55054.5</c:v>
                </c:pt>
                <c:pt idx="533">
                  <c:v>55234</c:v>
                </c:pt>
                <c:pt idx="534">
                  <c:v>55413.5</c:v>
                </c:pt>
                <c:pt idx="535">
                  <c:v>55593</c:v>
                </c:pt>
                <c:pt idx="536">
                  <c:v>55772.5</c:v>
                </c:pt>
                <c:pt idx="537">
                  <c:v>55952</c:v>
                </c:pt>
                <c:pt idx="538">
                  <c:v>56131.5</c:v>
                </c:pt>
                <c:pt idx="539">
                  <c:v>56311</c:v>
                </c:pt>
                <c:pt idx="540">
                  <c:v>56490.5</c:v>
                </c:pt>
                <c:pt idx="541">
                  <c:v>56670</c:v>
                </c:pt>
                <c:pt idx="542">
                  <c:v>56849.5</c:v>
                </c:pt>
                <c:pt idx="543">
                  <c:v>57029</c:v>
                </c:pt>
                <c:pt idx="544">
                  <c:v>57208.5</c:v>
                </c:pt>
                <c:pt idx="545">
                  <c:v>57388</c:v>
                </c:pt>
                <c:pt idx="546">
                  <c:v>57567.5</c:v>
                </c:pt>
                <c:pt idx="547">
                  <c:v>57747</c:v>
                </c:pt>
                <c:pt idx="548">
                  <c:v>57926.5</c:v>
                </c:pt>
                <c:pt idx="549">
                  <c:v>58106</c:v>
                </c:pt>
                <c:pt idx="550">
                  <c:v>58285.5</c:v>
                </c:pt>
                <c:pt idx="551">
                  <c:v>58465</c:v>
                </c:pt>
                <c:pt idx="552">
                  <c:v>58644.5</c:v>
                </c:pt>
                <c:pt idx="553">
                  <c:v>58824</c:v>
                </c:pt>
                <c:pt idx="554">
                  <c:v>59003.5</c:v>
                </c:pt>
                <c:pt idx="555">
                  <c:v>59183</c:v>
                </c:pt>
                <c:pt idx="556">
                  <c:v>59362.5</c:v>
                </c:pt>
                <c:pt idx="557">
                  <c:v>59542</c:v>
                </c:pt>
                <c:pt idx="558">
                  <c:v>59721.5</c:v>
                </c:pt>
                <c:pt idx="559">
                  <c:v>59901</c:v>
                </c:pt>
                <c:pt idx="560">
                  <c:v>60080.5</c:v>
                </c:pt>
                <c:pt idx="561">
                  <c:v>60260</c:v>
                </c:pt>
                <c:pt idx="562">
                  <c:v>60439.5</c:v>
                </c:pt>
                <c:pt idx="563">
                  <c:v>60619</c:v>
                </c:pt>
                <c:pt idx="564">
                  <c:v>60798.5</c:v>
                </c:pt>
                <c:pt idx="565">
                  <c:v>60978</c:v>
                </c:pt>
                <c:pt idx="566">
                  <c:v>61157.5</c:v>
                </c:pt>
                <c:pt idx="567">
                  <c:v>61337</c:v>
                </c:pt>
                <c:pt idx="568">
                  <c:v>61516.5</c:v>
                </c:pt>
                <c:pt idx="569">
                  <c:v>61696</c:v>
                </c:pt>
                <c:pt idx="570">
                  <c:v>61875.5</c:v>
                </c:pt>
                <c:pt idx="571">
                  <c:v>62055</c:v>
                </c:pt>
                <c:pt idx="572">
                  <c:v>62234.5</c:v>
                </c:pt>
                <c:pt idx="573">
                  <c:v>62414</c:v>
                </c:pt>
                <c:pt idx="574">
                  <c:v>62593.5</c:v>
                </c:pt>
                <c:pt idx="575">
                  <c:v>62773</c:v>
                </c:pt>
                <c:pt idx="576">
                  <c:v>62952.5</c:v>
                </c:pt>
                <c:pt idx="577">
                  <c:v>63132</c:v>
                </c:pt>
                <c:pt idx="578">
                  <c:v>63311.5</c:v>
                </c:pt>
                <c:pt idx="579">
                  <c:v>63491</c:v>
                </c:pt>
                <c:pt idx="580">
                  <c:v>63670.5</c:v>
                </c:pt>
                <c:pt idx="581">
                  <c:v>63850</c:v>
                </c:pt>
                <c:pt idx="582">
                  <c:v>64029.5</c:v>
                </c:pt>
                <c:pt idx="583">
                  <c:v>64209</c:v>
                </c:pt>
                <c:pt idx="584">
                  <c:v>64388.5</c:v>
                </c:pt>
                <c:pt idx="585">
                  <c:v>64568</c:v>
                </c:pt>
                <c:pt idx="586">
                  <c:v>64747.5</c:v>
                </c:pt>
                <c:pt idx="587">
                  <c:v>64927</c:v>
                </c:pt>
                <c:pt idx="588">
                  <c:v>65106.5</c:v>
                </c:pt>
                <c:pt idx="589">
                  <c:v>65286</c:v>
                </c:pt>
                <c:pt idx="590">
                  <c:v>65465.5</c:v>
                </c:pt>
                <c:pt idx="591">
                  <c:v>65645</c:v>
                </c:pt>
                <c:pt idx="592">
                  <c:v>65824.5</c:v>
                </c:pt>
                <c:pt idx="593">
                  <c:v>66004</c:v>
                </c:pt>
                <c:pt idx="594">
                  <c:v>66183.5</c:v>
                </c:pt>
                <c:pt idx="595">
                  <c:v>66363</c:v>
                </c:pt>
                <c:pt idx="596">
                  <c:v>66542.5</c:v>
                </c:pt>
                <c:pt idx="597">
                  <c:v>66722</c:v>
                </c:pt>
                <c:pt idx="598">
                  <c:v>66901.5</c:v>
                </c:pt>
                <c:pt idx="599">
                  <c:v>67081</c:v>
                </c:pt>
                <c:pt idx="600">
                  <c:v>67260.5</c:v>
                </c:pt>
                <c:pt idx="601">
                  <c:v>67440</c:v>
                </c:pt>
                <c:pt idx="602">
                  <c:v>67619.5</c:v>
                </c:pt>
                <c:pt idx="603">
                  <c:v>67799</c:v>
                </c:pt>
                <c:pt idx="604">
                  <c:v>67978.5</c:v>
                </c:pt>
                <c:pt idx="605">
                  <c:v>68158</c:v>
                </c:pt>
                <c:pt idx="606">
                  <c:v>68337.5</c:v>
                </c:pt>
                <c:pt idx="607">
                  <c:v>68517</c:v>
                </c:pt>
                <c:pt idx="608">
                  <c:v>68696.5</c:v>
                </c:pt>
                <c:pt idx="609">
                  <c:v>68876</c:v>
                </c:pt>
                <c:pt idx="610">
                  <c:v>69055.5</c:v>
                </c:pt>
                <c:pt idx="611">
                  <c:v>69235</c:v>
                </c:pt>
                <c:pt idx="612">
                  <c:v>69414.5</c:v>
                </c:pt>
                <c:pt idx="613">
                  <c:v>69594</c:v>
                </c:pt>
                <c:pt idx="614">
                  <c:v>69773.5</c:v>
                </c:pt>
                <c:pt idx="615">
                  <c:v>69953</c:v>
                </c:pt>
                <c:pt idx="616">
                  <c:v>70132.5</c:v>
                </c:pt>
                <c:pt idx="617">
                  <c:v>70312</c:v>
                </c:pt>
                <c:pt idx="618">
                  <c:v>70491.5</c:v>
                </c:pt>
                <c:pt idx="619">
                  <c:v>70671</c:v>
                </c:pt>
                <c:pt idx="620">
                  <c:v>70850.5</c:v>
                </c:pt>
                <c:pt idx="621">
                  <c:v>71030</c:v>
                </c:pt>
                <c:pt idx="622">
                  <c:v>71209.5</c:v>
                </c:pt>
                <c:pt idx="623">
                  <c:v>71389</c:v>
                </c:pt>
                <c:pt idx="624">
                  <c:v>71568.5</c:v>
                </c:pt>
                <c:pt idx="625">
                  <c:v>71748</c:v>
                </c:pt>
                <c:pt idx="626">
                  <c:v>71927.5</c:v>
                </c:pt>
                <c:pt idx="627">
                  <c:v>72107</c:v>
                </c:pt>
                <c:pt idx="628">
                  <c:v>72286.5</c:v>
                </c:pt>
                <c:pt idx="629">
                  <c:v>72466</c:v>
                </c:pt>
                <c:pt idx="630">
                  <c:v>72645.5</c:v>
                </c:pt>
                <c:pt idx="631">
                  <c:v>72825</c:v>
                </c:pt>
                <c:pt idx="632">
                  <c:v>73004.5</c:v>
                </c:pt>
                <c:pt idx="633">
                  <c:v>73184</c:v>
                </c:pt>
                <c:pt idx="634">
                  <c:v>73363.5</c:v>
                </c:pt>
                <c:pt idx="635">
                  <c:v>73543</c:v>
                </c:pt>
                <c:pt idx="636">
                  <c:v>73722.5</c:v>
                </c:pt>
                <c:pt idx="637">
                  <c:v>73902</c:v>
                </c:pt>
                <c:pt idx="638">
                  <c:v>74081.5</c:v>
                </c:pt>
                <c:pt idx="639">
                  <c:v>74261</c:v>
                </c:pt>
                <c:pt idx="640">
                  <c:v>74440.5</c:v>
                </c:pt>
                <c:pt idx="641">
                  <c:v>74620</c:v>
                </c:pt>
                <c:pt idx="642">
                  <c:v>74799.5</c:v>
                </c:pt>
                <c:pt idx="643">
                  <c:v>74979</c:v>
                </c:pt>
                <c:pt idx="644">
                  <c:v>75158.5</c:v>
                </c:pt>
                <c:pt idx="645">
                  <c:v>75338</c:v>
                </c:pt>
                <c:pt idx="646">
                  <c:v>75517.5</c:v>
                </c:pt>
                <c:pt idx="647">
                  <c:v>75697</c:v>
                </c:pt>
                <c:pt idx="648">
                  <c:v>75876.5</c:v>
                </c:pt>
                <c:pt idx="649">
                  <c:v>76056</c:v>
                </c:pt>
                <c:pt idx="650">
                  <c:v>76235.5</c:v>
                </c:pt>
                <c:pt idx="651">
                  <c:v>76415</c:v>
                </c:pt>
                <c:pt idx="652">
                  <c:v>76594.5</c:v>
                </c:pt>
                <c:pt idx="653">
                  <c:v>76774</c:v>
                </c:pt>
                <c:pt idx="654">
                  <c:v>76953.5</c:v>
                </c:pt>
                <c:pt idx="655">
                  <c:v>77133</c:v>
                </c:pt>
                <c:pt idx="656">
                  <c:v>77312.5</c:v>
                </c:pt>
                <c:pt idx="657">
                  <c:v>77492</c:v>
                </c:pt>
                <c:pt idx="658">
                  <c:v>77671.5</c:v>
                </c:pt>
                <c:pt idx="659">
                  <c:v>77851</c:v>
                </c:pt>
                <c:pt idx="660">
                  <c:v>78030.5</c:v>
                </c:pt>
                <c:pt idx="661">
                  <c:v>78210</c:v>
                </c:pt>
                <c:pt idx="662">
                  <c:v>78389.5</c:v>
                </c:pt>
                <c:pt idx="663">
                  <c:v>78569</c:v>
                </c:pt>
                <c:pt idx="664">
                  <c:v>78748.5</c:v>
                </c:pt>
                <c:pt idx="665">
                  <c:v>78928</c:v>
                </c:pt>
                <c:pt idx="666">
                  <c:v>79107.5</c:v>
                </c:pt>
                <c:pt idx="667">
                  <c:v>79287</c:v>
                </c:pt>
                <c:pt idx="668">
                  <c:v>79466.5</c:v>
                </c:pt>
                <c:pt idx="669">
                  <c:v>79646</c:v>
                </c:pt>
                <c:pt idx="670">
                  <c:v>79825.5</c:v>
                </c:pt>
                <c:pt idx="671">
                  <c:v>80005</c:v>
                </c:pt>
                <c:pt idx="672">
                  <c:v>80184.5</c:v>
                </c:pt>
                <c:pt idx="673">
                  <c:v>80364</c:v>
                </c:pt>
                <c:pt idx="674">
                  <c:v>80543.5</c:v>
                </c:pt>
                <c:pt idx="675">
                  <c:v>80723</c:v>
                </c:pt>
                <c:pt idx="676">
                  <c:v>80902.5</c:v>
                </c:pt>
                <c:pt idx="677">
                  <c:v>81082</c:v>
                </c:pt>
                <c:pt idx="678">
                  <c:v>81261.5</c:v>
                </c:pt>
                <c:pt idx="679">
                  <c:v>81441</c:v>
                </c:pt>
                <c:pt idx="680">
                  <c:v>81620.5</c:v>
                </c:pt>
                <c:pt idx="681">
                  <c:v>81800</c:v>
                </c:pt>
                <c:pt idx="682">
                  <c:v>81979.5</c:v>
                </c:pt>
                <c:pt idx="683">
                  <c:v>82159</c:v>
                </c:pt>
                <c:pt idx="684">
                  <c:v>82338.5</c:v>
                </c:pt>
                <c:pt idx="685">
                  <c:v>82518</c:v>
                </c:pt>
                <c:pt idx="686">
                  <c:v>82697.5</c:v>
                </c:pt>
                <c:pt idx="687">
                  <c:v>82877</c:v>
                </c:pt>
                <c:pt idx="688">
                  <c:v>83056.5</c:v>
                </c:pt>
                <c:pt idx="689">
                  <c:v>83236</c:v>
                </c:pt>
                <c:pt idx="690">
                  <c:v>83415.5</c:v>
                </c:pt>
                <c:pt idx="691">
                  <c:v>83595</c:v>
                </c:pt>
                <c:pt idx="692">
                  <c:v>83774.5</c:v>
                </c:pt>
                <c:pt idx="693">
                  <c:v>83954</c:v>
                </c:pt>
                <c:pt idx="694">
                  <c:v>84133.5</c:v>
                </c:pt>
                <c:pt idx="695">
                  <c:v>84313</c:v>
                </c:pt>
                <c:pt idx="696">
                  <c:v>84492.5</c:v>
                </c:pt>
                <c:pt idx="697">
                  <c:v>84672</c:v>
                </c:pt>
                <c:pt idx="698">
                  <c:v>84851.5</c:v>
                </c:pt>
                <c:pt idx="699">
                  <c:v>85031</c:v>
                </c:pt>
                <c:pt idx="700">
                  <c:v>85210.5</c:v>
                </c:pt>
                <c:pt idx="701">
                  <c:v>85390</c:v>
                </c:pt>
                <c:pt idx="702">
                  <c:v>85569.5</c:v>
                </c:pt>
                <c:pt idx="703">
                  <c:v>85749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873600"/>
        <c:axId val="197132672"/>
      </c:scatterChart>
      <c:scatterChart>
        <c:scatterStyle val="lineMarker"/>
        <c:varyColors val="0"/>
        <c:ser>
          <c:idx val="2"/>
          <c:order val="1"/>
          <c:tx>
            <c:v>Effective Marginal Tax Rate (Right Axis)</c:v>
          </c:tx>
          <c:spPr>
            <a:ln w="63500"/>
          </c:spPr>
          <c:marker>
            <c:symbol val="none"/>
          </c:marker>
          <c:xVal>
            <c:numRef>
              <c:f>Sheet1!$B$39:$B$741</c:f>
              <c:numCache>
                <c:formatCode>"$"#,##0_);[Red]\("$"#,##0\)</c:formatCode>
                <c:ptCount val="70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  <c:pt idx="59">
                  <c:v>30500</c:v>
                </c:pt>
                <c:pt idx="60">
                  <c:v>31000</c:v>
                </c:pt>
                <c:pt idx="61">
                  <c:v>31500</c:v>
                </c:pt>
                <c:pt idx="62">
                  <c:v>32000</c:v>
                </c:pt>
                <c:pt idx="63">
                  <c:v>32500</c:v>
                </c:pt>
                <c:pt idx="64">
                  <c:v>33000</c:v>
                </c:pt>
                <c:pt idx="65">
                  <c:v>33500</c:v>
                </c:pt>
                <c:pt idx="66">
                  <c:v>34000</c:v>
                </c:pt>
                <c:pt idx="67">
                  <c:v>34500</c:v>
                </c:pt>
                <c:pt idx="68">
                  <c:v>35000</c:v>
                </c:pt>
                <c:pt idx="69">
                  <c:v>35500</c:v>
                </c:pt>
                <c:pt idx="70">
                  <c:v>36000</c:v>
                </c:pt>
                <c:pt idx="71">
                  <c:v>36500</c:v>
                </c:pt>
                <c:pt idx="72">
                  <c:v>37000</c:v>
                </c:pt>
                <c:pt idx="73">
                  <c:v>37500</c:v>
                </c:pt>
                <c:pt idx="74">
                  <c:v>38000</c:v>
                </c:pt>
                <c:pt idx="75">
                  <c:v>38500</c:v>
                </c:pt>
                <c:pt idx="76">
                  <c:v>39000</c:v>
                </c:pt>
                <c:pt idx="77">
                  <c:v>39500</c:v>
                </c:pt>
                <c:pt idx="78">
                  <c:v>40000</c:v>
                </c:pt>
                <c:pt idx="79">
                  <c:v>40500</c:v>
                </c:pt>
                <c:pt idx="80">
                  <c:v>41000</c:v>
                </c:pt>
                <c:pt idx="81">
                  <c:v>41500</c:v>
                </c:pt>
                <c:pt idx="82">
                  <c:v>42000</c:v>
                </c:pt>
                <c:pt idx="83">
                  <c:v>42500</c:v>
                </c:pt>
                <c:pt idx="84">
                  <c:v>43000</c:v>
                </c:pt>
                <c:pt idx="85">
                  <c:v>43500</c:v>
                </c:pt>
                <c:pt idx="86">
                  <c:v>44000</c:v>
                </c:pt>
                <c:pt idx="87">
                  <c:v>44500</c:v>
                </c:pt>
                <c:pt idx="88">
                  <c:v>45000</c:v>
                </c:pt>
                <c:pt idx="89">
                  <c:v>45500</c:v>
                </c:pt>
                <c:pt idx="90">
                  <c:v>46000</c:v>
                </c:pt>
                <c:pt idx="91">
                  <c:v>46500</c:v>
                </c:pt>
                <c:pt idx="92">
                  <c:v>47000</c:v>
                </c:pt>
                <c:pt idx="93">
                  <c:v>47500</c:v>
                </c:pt>
                <c:pt idx="94">
                  <c:v>48000</c:v>
                </c:pt>
                <c:pt idx="95">
                  <c:v>48500</c:v>
                </c:pt>
                <c:pt idx="96">
                  <c:v>49000</c:v>
                </c:pt>
                <c:pt idx="97">
                  <c:v>49500</c:v>
                </c:pt>
                <c:pt idx="98">
                  <c:v>50000</c:v>
                </c:pt>
                <c:pt idx="99">
                  <c:v>50500</c:v>
                </c:pt>
                <c:pt idx="100">
                  <c:v>51000</c:v>
                </c:pt>
                <c:pt idx="101">
                  <c:v>51500</c:v>
                </c:pt>
                <c:pt idx="102">
                  <c:v>52000</c:v>
                </c:pt>
                <c:pt idx="103">
                  <c:v>52500</c:v>
                </c:pt>
                <c:pt idx="104">
                  <c:v>53000</c:v>
                </c:pt>
                <c:pt idx="105">
                  <c:v>53500</c:v>
                </c:pt>
                <c:pt idx="106">
                  <c:v>54000</c:v>
                </c:pt>
                <c:pt idx="107">
                  <c:v>54500</c:v>
                </c:pt>
                <c:pt idx="108">
                  <c:v>55000</c:v>
                </c:pt>
                <c:pt idx="109">
                  <c:v>55500</c:v>
                </c:pt>
                <c:pt idx="110">
                  <c:v>56000</c:v>
                </c:pt>
                <c:pt idx="111">
                  <c:v>56500</c:v>
                </c:pt>
                <c:pt idx="112">
                  <c:v>57000</c:v>
                </c:pt>
                <c:pt idx="113">
                  <c:v>57500</c:v>
                </c:pt>
                <c:pt idx="114">
                  <c:v>58000</c:v>
                </c:pt>
                <c:pt idx="115">
                  <c:v>58500</c:v>
                </c:pt>
                <c:pt idx="116">
                  <c:v>59000</c:v>
                </c:pt>
                <c:pt idx="117">
                  <c:v>59500</c:v>
                </c:pt>
                <c:pt idx="118">
                  <c:v>60000</c:v>
                </c:pt>
                <c:pt idx="119">
                  <c:v>60500</c:v>
                </c:pt>
                <c:pt idx="120">
                  <c:v>61000</c:v>
                </c:pt>
                <c:pt idx="121">
                  <c:v>61500</c:v>
                </c:pt>
                <c:pt idx="122">
                  <c:v>62000</c:v>
                </c:pt>
                <c:pt idx="123">
                  <c:v>62500</c:v>
                </c:pt>
                <c:pt idx="124">
                  <c:v>63000</c:v>
                </c:pt>
                <c:pt idx="125">
                  <c:v>63500</c:v>
                </c:pt>
                <c:pt idx="126">
                  <c:v>64000</c:v>
                </c:pt>
                <c:pt idx="127">
                  <c:v>64500</c:v>
                </c:pt>
                <c:pt idx="128">
                  <c:v>65000</c:v>
                </c:pt>
                <c:pt idx="129">
                  <c:v>65500</c:v>
                </c:pt>
                <c:pt idx="130">
                  <c:v>66000</c:v>
                </c:pt>
                <c:pt idx="131">
                  <c:v>66500</c:v>
                </c:pt>
                <c:pt idx="132">
                  <c:v>67000</c:v>
                </c:pt>
                <c:pt idx="133">
                  <c:v>67500</c:v>
                </c:pt>
                <c:pt idx="134">
                  <c:v>68000</c:v>
                </c:pt>
                <c:pt idx="135">
                  <c:v>68500</c:v>
                </c:pt>
                <c:pt idx="136">
                  <c:v>69000</c:v>
                </c:pt>
                <c:pt idx="137">
                  <c:v>69500</c:v>
                </c:pt>
                <c:pt idx="138">
                  <c:v>70000</c:v>
                </c:pt>
                <c:pt idx="139">
                  <c:v>70500</c:v>
                </c:pt>
                <c:pt idx="140">
                  <c:v>71000</c:v>
                </c:pt>
                <c:pt idx="141">
                  <c:v>71500</c:v>
                </c:pt>
                <c:pt idx="142">
                  <c:v>72000</c:v>
                </c:pt>
                <c:pt idx="143">
                  <c:v>72500</c:v>
                </c:pt>
                <c:pt idx="144">
                  <c:v>73000</c:v>
                </c:pt>
                <c:pt idx="145">
                  <c:v>73500</c:v>
                </c:pt>
                <c:pt idx="146">
                  <c:v>74000</c:v>
                </c:pt>
                <c:pt idx="147">
                  <c:v>74500</c:v>
                </c:pt>
                <c:pt idx="148">
                  <c:v>75000</c:v>
                </c:pt>
                <c:pt idx="149">
                  <c:v>75500</c:v>
                </c:pt>
                <c:pt idx="150">
                  <c:v>76000</c:v>
                </c:pt>
                <c:pt idx="151">
                  <c:v>76500</c:v>
                </c:pt>
                <c:pt idx="152">
                  <c:v>77000</c:v>
                </c:pt>
                <c:pt idx="153">
                  <c:v>77500</c:v>
                </c:pt>
                <c:pt idx="154">
                  <c:v>78000</c:v>
                </c:pt>
                <c:pt idx="155">
                  <c:v>78500</c:v>
                </c:pt>
                <c:pt idx="156">
                  <c:v>79000</c:v>
                </c:pt>
                <c:pt idx="157">
                  <c:v>79500</c:v>
                </c:pt>
                <c:pt idx="158">
                  <c:v>80000</c:v>
                </c:pt>
                <c:pt idx="159">
                  <c:v>80500</c:v>
                </c:pt>
                <c:pt idx="160">
                  <c:v>81000</c:v>
                </c:pt>
                <c:pt idx="161">
                  <c:v>81500</c:v>
                </c:pt>
                <c:pt idx="162">
                  <c:v>82000</c:v>
                </c:pt>
                <c:pt idx="163">
                  <c:v>82500</c:v>
                </c:pt>
                <c:pt idx="164">
                  <c:v>83000</c:v>
                </c:pt>
                <c:pt idx="165">
                  <c:v>83500</c:v>
                </c:pt>
                <c:pt idx="166">
                  <c:v>84000</c:v>
                </c:pt>
                <c:pt idx="167">
                  <c:v>84500</c:v>
                </c:pt>
                <c:pt idx="168">
                  <c:v>85000</c:v>
                </c:pt>
                <c:pt idx="169">
                  <c:v>85500</c:v>
                </c:pt>
                <c:pt idx="170">
                  <c:v>86000</c:v>
                </c:pt>
                <c:pt idx="171">
                  <c:v>86500</c:v>
                </c:pt>
                <c:pt idx="172">
                  <c:v>87000</c:v>
                </c:pt>
                <c:pt idx="173">
                  <c:v>87500</c:v>
                </c:pt>
                <c:pt idx="174">
                  <c:v>88000</c:v>
                </c:pt>
                <c:pt idx="175">
                  <c:v>88500</c:v>
                </c:pt>
                <c:pt idx="176">
                  <c:v>89000</c:v>
                </c:pt>
                <c:pt idx="177">
                  <c:v>89500</c:v>
                </c:pt>
                <c:pt idx="178">
                  <c:v>90000</c:v>
                </c:pt>
                <c:pt idx="179">
                  <c:v>90500</c:v>
                </c:pt>
                <c:pt idx="180">
                  <c:v>91000</c:v>
                </c:pt>
                <c:pt idx="181">
                  <c:v>91500</c:v>
                </c:pt>
                <c:pt idx="182">
                  <c:v>92000</c:v>
                </c:pt>
                <c:pt idx="183">
                  <c:v>92500</c:v>
                </c:pt>
                <c:pt idx="184">
                  <c:v>93000</c:v>
                </c:pt>
                <c:pt idx="185">
                  <c:v>93500</c:v>
                </c:pt>
                <c:pt idx="186">
                  <c:v>94000</c:v>
                </c:pt>
                <c:pt idx="187">
                  <c:v>94500</c:v>
                </c:pt>
                <c:pt idx="188">
                  <c:v>95000</c:v>
                </c:pt>
                <c:pt idx="189">
                  <c:v>95500</c:v>
                </c:pt>
                <c:pt idx="190">
                  <c:v>96000</c:v>
                </c:pt>
                <c:pt idx="191">
                  <c:v>96500</c:v>
                </c:pt>
                <c:pt idx="192">
                  <c:v>97000</c:v>
                </c:pt>
                <c:pt idx="193">
                  <c:v>97500</c:v>
                </c:pt>
                <c:pt idx="194">
                  <c:v>98000</c:v>
                </c:pt>
                <c:pt idx="195">
                  <c:v>98500</c:v>
                </c:pt>
                <c:pt idx="196">
                  <c:v>99000</c:v>
                </c:pt>
                <c:pt idx="197">
                  <c:v>99500</c:v>
                </c:pt>
                <c:pt idx="198">
                  <c:v>100000</c:v>
                </c:pt>
                <c:pt idx="199">
                  <c:v>100500</c:v>
                </c:pt>
                <c:pt idx="200">
                  <c:v>101000</c:v>
                </c:pt>
                <c:pt idx="201">
                  <c:v>101500</c:v>
                </c:pt>
                <c:pt idx="202">
                  <c:v>102000</c:v>
                </c:pt>
                <c:pt idx="203">
                  <c:v>102500</c:v>
                </c:pt>
                <c:pt idx="204">
                  <c:v>103000</c:v>
                </c:pt>
                <c:pt idx="205">
                  <c:v>103500</c:v>
                </c:pt>
                <c:pt idx="206">
                  <c:v>104000</c:v>
                </c:pt>
                <c:pt idx="207">
                  <c:v>104500</c:v>
                </c:pt>
                <c:pt idx="208">
                  <c:v>105000</c:v>
                </c:pt>
                <c:pt idx="209">
                  <c:v>105500</c:v>
                </c:pt>
                <c:pt idx="210">
                  <c:v>106000</c:v>
                </c:pt>
                <c:pt idx="211">
                  <c:v>106500</c:v>
                </c:pt>
                <c:pt idx="212">
                  <c:v>107000</c:v>
                </c:pt>
                <c:pt idx="213">
                  <c:v>107500</c:v>
                </c:pt>
                <c:pt idx="214">
                  <c:v>108000</c:v>
                </c:pt>
                <c:pt idx="215">
                  <c:v>108500</c:v>
                </c:pt>
                <c:pt idx="216">
                  <c:v>109000</c:v>
                </c:pt>
                <c:pt idx="217">
                  <c:v>109500</c:v>
                </c:pt>
                <c:pt idx="218">
                  <c:v>110000</c:v>
                </c:pt>
                <c:pt idx="219">
                  <c:v>110500</c:v>
                </c:pt>
                <c:pt idx="220">
                  <c:v>111000</c:v>
                </c:pt>
                <c:pt idx="221">
                  <c:v>111500</c:v>
                </c:pt>
                <c:pt idx="222">
                  <c:v>112000</c:v>
                </c:pt>
                <c:pt idx="223">
                  <c:v>112500</c:v>
                </c:pt>
                <c:pt idx="224">
                  <c:v>113000</c:v>
                </c:pt>
                <c:pt idx="225">
                  <c:v>113500</c:v>
                </c:pt>
                <c:pt idx="226">
                  <c:v>114000</c:v>
                </c:pt>
                <c:pt idx="227">
                  <c:v>114500</c:v>
                </c:pt>
                <c:pt idx="228">
                  <c:v>115000</c:v>
                </c:pt>
                <c:pt idx="229">
                  <c:v>115500</c:v>
                </c:pt>
                <c:pt idx="230">
                  <c:v>116000</c:v>
                </c:pt>
                <c:pt idx="231">
                  <c:v>116500</c:v>
                </c:pt>
                <c:pt idx="232">
                  <c:v>117000</c:v>
                </c:pt>
                <c:pt idx="233">
                  <c:v>117500</c:v>
                </c:pt>
                <c:pt idx="234">
                  <c:v>118000</c:v>
                </c:pt>
                <c:pt idx="235">
                  <c:v>118500</c:v>
                </c:pt>
                <c:pt idx="236">
                  <c:v>119000</c:v>
                </c:pt>
                <c:pt idx="237">
                  <c:v>119500</c:v>
                </c:pt>
                <c:pt idx="238">
                  <c:v>120000</c:v>
                </c:pt>
                <c:pt idx="239">
                  <c:v>120500</c:v>
                </c:pt>
                <c:pt idx="240">
                  <c:v>121000</c:v>
                </c:pt>
                <c:pt idx="241">
                  <c:v>121500</c:v>
                </c:pt>
                <c:pt idx="242">
                  <c:v>122000</c:v>
                </c:pt>
                <c:pt idx="243">
                  <c:v>122500</c:v>
                </c:pt>
                <c:pt idx="244">
                  <c:v>123000</c:v>
                </c:pt>
                <c:pt idx="245">
                  <c:v>123500</c:v>
                </c:pt>
                <c:pt idx="246">
                  <c:v>124000</c:v>
                </c:pt>
                <c:pt idx="247">
                  <c:v>124500</c:v>
                </c:pt>
                <c:pt idx="248">
                  <c:v>125000</c:v>
                </c:pt>
                <c:pt idx="249">
                  <c:v>125500</c:v>
                </c:pt>
                <c:pt idx="250">
                  <c:v>126000</c:v>
                </c:pt>
                <c:pt idx="251">
                  <c:v>126500</c:v>
                </c:pt>
                <c:pt idx="252">
                  <c:v>127000</c:v>
                </c:pt>
                <c:pt idx="253">
                  <c:v>127500</c:v>
                </c:pt>
                <c:pt idx="254">
                  <c:v>128000</c:v>
                </c:pt>
                <c:pt idx="255">
                  <c:v>128500</c:v>
                </c:pt>
                <c:pt idx="256">
                  <c:v>129000</c:v>
                </c:pt>
                <c:pt idx="257">
                  <c:v>129500</c:v>
                </c:pt>
                <c:pt idx="258">
                  <c:v>130000</c:v>
                </c:pt>
                <c:pt idx="259">
                  <c:v>130500</c:v>
                </c:pt>
                <c:pt idx="260">
                  <c:v>131000</c:v>
                </c:pt>
                <c:pt idx="261">
                  <c:v>131500</c:v>
                </c:pt>
                <c:pt idx="262">
                  <c:v>132000</c:v>
                </c:pt>
                <c:pt idx="263">
                  <c:v>132500</c:v>
                </c:pt>
                <c:pt idx="264">
                  <c:v>133000</c:v>
                </c:pt>
                <c:pt idx="265">
                  <c:v>133500</c:v>
                </c:pt>
                <c:pt idx="266">
                  <c:v>134000</c:v>
                </c:pt>
                <c:pt idx="267">
                  <c:v>134500</c:v>
                </c:pt>
                <c:pt idx="268">
                  <c:v>135000</c:v>
                </c:pt>
                <c:pt idx="269">
                  <c:v>135500</c:v>
                </c:pt>
                <c:pt idx="270">
                  <c:v>136000</c:v>
                </c:pt>
                <c:pt idx="271">
                  <c:v>136500</c:v>
                </c:pt>
                <c:pt idx="272">
                  <c:v>137000</c:v>
                </c:pt>
                <c:pt idx="273">
                  <c:v>137500</c:v>
                </c:pt>
                <c:pt idx="274">
                  <c:v>138000</c:v>
                </c:pt>
                <c:pt idx="275">
                  <c:v>138500</c:v>
                </c:pt>
                <c:pt idx="276">
                  <c:v>139000</c:v>
                </c:pt>
                <c:pt idx="277">
                  <c:v>139500</c:v>
                </c:pt>
                <c:pt idx="278">
                  <c:v>140000</c:v>
                </c:pt>
                <c:pt idx="279">
                  <c:v>140500</c:v>
                </c:pt>
                <c:pt idx="280">
                  <c:v>141000</c:v>
                </c:pt>
                <c:pt idx="281">
                  <c:v>141500</c:v>
                </c:pt>
                <c:pt idx="282">
                  <c:v>142000</c:v>
                </c:pt>
                <c:pt idx="283">
                  <c:v>142500</c:v>
                </c:pt>
                <c:pt idx="284">
                  <c:v>143000</c:v>
                </c:pt>
                <c:pt idx="285">
                  <c:v>143500</c:v>
                </c:pt>
                <c:pt idx="286">
                  <c:v>144000</c:v>
                </c:pt>
                <c:pt idx="287">
                  <c:v>144500</c:v>
                </c:pt>
                <c:pt idx="288">
                  <c:v>145000</c:v>
                </c:pt>
                <c:pt idx="289">
                  <c:v>145500</c:v>
                </c:pt>
                <c:pt idx="290">
                  <c:v>146000</c:v>
                </c:pt>
                <c:pt idx="291">
                  <c:v>146500</c:v>
                </c:pt>
                <c:pt idx="292">
                  <c:v>147000</c:v>
                </c:pt>
                <c:pt idx="293">
                  <c:v>147500</c:v>
                </c:pt>
                <c:pt idx="294">
                  <c:v>148000</c:v>
                </c:pt>
                <c:pt idx="295">
                  <c:v>148500</c:v>
                </c:pt>
                <c:pt idx="296">
                  <c:v>149000</c:v>
                </c:pt>
                <c:pt idx="297">
                  <c:v>149500</c:v>
                </c:pt>
                <c:pt idx="298">
                  <c:v>150000</c:v>
                </c:pt>
                <c:pt idx="299">
                  <c:v>150500</c:v>
                </c:pt>
                <c:pt idx="300">
                  <c:v>151000</c:v>
                </c:pt>
                <c:pt idx="301">
                  <c:v>151500</c:v>
                </c:pt>
                <c:pt idx="302">
                  <c:v>152000</c:v>
                </c:pt>
                <c:pt idx="303">
                  <c:v>152500</c:v>
                </c:pt>
                <c:pt idx="304">
                  <c:v>153000</c:v>
                </c:pt>
                <c:pt idx="305">
                  <c:v>153500</c:v>
                </c:pt>
                <c:pt idx="306">
                  <c:v>154000</c:v>
                </c:pt>
                <c:pt idx="307">
                  <c:v>154500</c:v>
                </c:pt>
                <c:pt idx="308">
                  <c:v>155000</c:v>
                </c:pt>
                <c:pt idx="309">
                  <c:v>155500</c:v>
                </c:pt>
                <c:pt idx="310">
                  <c:v>156000</c:v>
                </c:pt>
                <c:pt idx="311">
                  <c:v>156500</c:v>
                </c:pt>
                <c:pt idx="312">
                  <c:v>157000</c:v>
                </c:pt>
                <c:pt idx="313">
                  <c:v>157500</c:v>
                </c:pt>
                <c:pt idx="314">
                  <c:v>158000</c:v>
                </c:pt>
                <c:pt idx="315">
                  <c:v>158500</c:v>
                </c:pt>
                <c:pt idx="316">
                  <c:v>159000</c:v>
                </c:pt>
                <c:pt idx="317">
                  <c:v>159500</c:v>
                </c:pt>
                <c:pt idx="318">
                  <c:v>160000</c:v>
                </c:pt>
                <c:pt idx="319">
                  <c:v>160500</c:v>
                </c:pt>
                <c:pt idx="320">
                  <c:v>161000</c:v>
                </c:pt>
                <c:pt idx="321">
                  <c:v>161500</c:v>
                </c:pt>
                <c:pt idx="322">
                  <c:v>162000</c:v>
                </c:pt>
                <c:pt idx="323">
                  <c:v>162500</c:v>
                </c:pt>
                <c:pt idx="324">
                  <c:v>163000</c:v>
                </c:pt>
                <c:pt idx="325">
                  <c:v>163500</c:v>
                </c:pt>
                <c:pt idx="326">
                  <c:v>164000</c:v>
                </c:pt>
                <c:pt idx="327">
                  <c:v>164500</c:v>
                </c:pt>
                <c:pt idx="328">
                  <c:v>165000</c:v>
                </c:pt>
                <c:pt idx="329">
                  <c:v>165500</c:v>
                </c:pt>
                <c:pt idx="330">
                  <c:v>166000</c:v>
                </c:pt>
                <c:pt idx="331">
                  <c:v>166500</c:v>
                </c:pt>
                <c:pt idx="332">
                  <c:v>167000</c:v>
                </c:pt>
                <c:pt idx="333">
                  <c:v>167500</c:v>
                </c:pt>
                <c:pt idx="334">
                  <c:v>168000</c:v>
                </c:pt>
                <c:pt idx="335">
                  <c:v>168500</c:v>
                </c:pt>
                <c:pt idx="336">
                  <c:v>169000</c:v>
                </c:pt>
                <c:pt idx="337">
                  <c:v>169500</c:v>
                </c:pt>
                <c:pt idx="338">
                  <c:v>170000</c:v>
                </c:pt>
                <c:pt idx="339">
                  <c:v>170500</c:v>
                </c:pt>
                <c:pt idx="340">
                  <c:v>171000</c:v>
                </c:pt>
                <c:pt idx="341">
                  <c:v>171500</c:v>
                </c:pt>
                <c:pt idx="342">
                  <c:v>172000</c:v>
                </c:pt>
                <c:pt idx="343">
                  <c:v>172500</c:v>
                </c:pt>
                <c:pt idx="344">
                  <c:v>173000</c:v>
                </c:pt>
                <c:pt idx="345">
                  <c:v>173500</c:v>
                </c:pt>
                <c:pt idx="346">
                  <c:v>174000</c:v>
                </c:pt>
                <c:pt idx="347">
                  <c:v>174500</c:v>
                </c:pt>
                <c:pt idx="348">
                  <c:v>175000</c:v>
                </c:pt>
                <c:pt idx="349">
                  <c:v>175500</c:v>
                </c:pt>
                <c:pt idx="350">
                  <c:v>176000</c:v>
                </c:pt>
                <c:pt idx="351">
                  <c:v>176500</c:v>
                </c:pt>
                <c:pt idx="352">
                  <c:v>177000</c:v>
                </c:pt>
                <c:pt idx="353">
                  <c:v>177500</c:v>
                </c:pt>
                <c:pt idx="354">
                  <c:v>178000</c:v>
                </c:pt>
                <c:pt idx="355">
                  <c:v>178500</c:v>
                </c:pt>
                <c:pt idx="356">
                  <c:v>179000</c:v>
                </c:pt>
                <c:pt idx="357">
                  <c:v>179500</c:v>
                </c:pt>
                <c:pt idx="358">
                  <c:v>180000</c:v>
                </c:pt>
                <c:pt idx="359">
                  <c:v>180500</c:v>
                </c:pt>
                <c:pt idx="360">
                  <c:v>181000</c:v>
                </c:pt>
                <c:pt idx="361">
                  <c:v>181500</c:v>
                </c:pt>
                <c:pt idx="362">
                  <c:v>182000</c:v>
                </c:pt>
                <c:pt idx="363">
                  <c:v>182500</c:v>
                </c:pt>
                <c:pt idx="364">
                  <c:v>183000</c:v>
                </c:pt>
                <c:pt idx="365">
                  <c:v>183500</c:v>
                </c:pt>
                <c:pt idx="366">
                  <c:v>184000</c:v>
                </c:pt>
                <c:pt idx="367">
                  <c:v>184500</c:v>
                </c:pt>
                <c:pt idx="368">
                  <c:v>185000</c:v>
                </c:pt>
                <c:pt idx="369">
                  <c:v>185500</c:v>
                </c:pt>
                <c:pt idx="370">
                  <c:v>186000</c:v>
                </c:pt>
                <c:pt idx="371">
                  <c:v>186500</c:v>
                </c:pt>
                <c:pt idx="372">
                  <c:v>187000</c:v>
                </c:pt>
                <c:pt idx="373">
                  <c:v>187500</c:v>
                </c:pt>
                <c:pt idx="374">
                  <c:v>188000</c:v>
                </c:pt>
                <c:pt idx="375">
                  <c:v>188500</c:v>
                </c:pt>
                <c:pt idx="376">
                  <c:v>189000</c:v>
                </c:pt>
                <c:pt idx="377">
                  <c:v>189500</c:v>
                </c:pt>
                <c:pt idx="378">
                  <c:v>190000</c:v>
                </c:pt>
                <c:pt idx="379">
                  <c:v>190500</c:v>
                </c:pt>
                <c:pt idx="380">
                  <c:v>191000</c:v>
                </c:pt>
                <c:pt idx="381">
                  <c:v>191500</c:v>
                </c:pt>
                <c:pt idx="382">
                  <c:v>192000</c:v>
                </c:pt>
                <c:pt idx="383">
                  <c:v>192500</c:v>
                </c:pt>
                <c:pt idx="384">
                  <c:v>193000</c:v>
                </c:pt>
                <c:pt idx="385">
                  <c:v>193500</c:v>
                </c:pt>
                <c:pt idx="386">
                  <c:v>194000</c:v>
                </c:pt>
                <c:pt idx="387">
                  <c:v>194500</c:v>
                </c:pt>
                <c:pt idx="388">
                  <c:v>195000</c:v>
                </c:pt>
                <c:pt idx="389">
                  <c:v>195500</c:v>
                </c:pt>
                <c:pt idx="390">
                  <c:v>196000</c:v>
                </c:pt>
                <c:pt idx="391">
                  <c:v>196500</c:v>
                </c:pt>
                <c:pt idx="392">
                  <c:v>197000</c:v>
                </c:pt>
                <c:pt idx="393">
                  <c:v>197500</c:v>
                </c:pt>
                <c:pt idx="394">
                  <c:v>198000</c:v>
                </c:pt>
                <c:pt idx="395">
                  <c:v>198500</c:v>
                </c:pt>
                <c:pt idx="396">
                  <c:v>199000</c:v>
                </c:pt>
                <c:pt idx="397">
                  <c:v>199500</c:v>
                </c:pt>
                <c:pt idx="398">
                  <c:v>200000</c:v>
                </c:pt>
                <c:pt idx="399">
                  <c:v>200500</c:v>
                </c:pt>
                <c:pt idx="400">
                  <c:v>201000</c:v>
                </c:pt>
                <c:pt idx="401">
                  <c:v>201500</c:v>
                </c:pt>
                <c:pt idx="402">
                  <c:v>202000</c:v>
                </c:pt>
                <c:pt idx="403">
                  <c:v>202500</c:v>
                </c:pt>
                <c:pt idx="404">
                  <c:v>203000</c:v>
                </c:pt>
                <c:pt idx="405">
                  <c:v>203500</c:v>
                </c:pt>
                <c:pt idx="406">
                  <c:v>204000</c:v>
                </c:pt>
                <c:pt idx="407">
                  <c:v>204500</c:v>
                </c:pt>
                <c:pt idx="408">
                  <c:v>205000</c:v>
                </c:pt>
                <c:pt idx="409">
                  <c:v>205500</c:v>
                </c:pt>
                <c:pt idx="410">
                  <c:v>206000</c:v>
                </c:pt>
                <c:pt idx="411">
                  <c:v>206500</c:v>
                </c:pt>
                <c:pt idx="412">
                  <c:v>207000</c:v>
                </c:pt>
                <c:pt idx="413">
                  <c:v>207500</c:v>
                </c:pt>
                <c:pt idx="414">
                  <c:v>208000</c:v>
                </c:pt>
                <c:pt idx="415">
                  <c:v>208500</c:v>
                </c:pt>
                <c:pt idx="416">
                  <c:v>209000</c:v>
                </c:pt>
                <c:pt idx="417">
                  <c:v>209500</c:v>
                </c:pt>
                <c:pt idx="418">
                  <c:v>210000</c:v>
                </c:pt>
                <c:pt idx="419">
                  <c:v>210500</c:v>
                </c:pt>
                <c:pt idx="420">
                  <c:v>211000</c:v>
                </c:pt>
                <c:pt idx="421">
                  <c:v>211500</c:v>
                </c:pt>
                <c:pt idx="422">
                  <c:v>212000</c:v>
                </c:pt>
                <c:pt idx="423">
                  <c:v>212500</c:v>
                </c:pt>
                <c:pt idx="424">
                  <c:v>213000</c:v>
                </c:pt>
                <c:pt idx="425">
                  <c:v>213500</c:v>
                </c:pt>
                <c:pt idx="426">
                  <c:v>214000</c:v>
                </c:pt>
                <c:pt idx="427">
                  <c:v>214500</c:v>
                </c:pt>
                <c:pt idx="428">
                  <c:v>215000</c:v>
                </c:pt>
                <c:pt idx="429">
                  <c:v>215500</c:v>
                </c:pt>
                <c:pt idx="430">
                  <c:v>216000</c:v>
                </c:pt>
                <c:pt idx="431">
                  <c:v>216500</c:v>
                </c:pt>
                <c:pt idx="432">
                  <c:v>217000</c:v>
                </c:pt>
                <c:pt idx="433">
                  <c:v>217500</c:v>
                </c:pt>
                <c:pt idx="434">
                  <c:v>218000</c:v>
                </c:pt>
                <c:pt idx="435">
                  <c:v>218500</c:v>
                </c:pt>
                <c:pt idx="436">
                  <c:v>219000</c:v>
                </c:pt>
                <c:pt idx="437">
                  <c:v>219500</c:v>
                </c:pt>
                <c:pt idx="438">
                  <c:v>220000</c:v>
                </c:pt>
                <c:pt idx="439">
                  <c:v>220500</c:v>
                </c:pt>
                <c:pt idx="440">
                  <c:v>221000</c:v>
                </c:pt>
                <c:pt idx="441">
                  <c:v>221500</c:v>
                </c:pt>
                <c:pt idx="442">
                  <c:v>222000</c:v>
                </c:pt>
                <c:pt idx="443">
                  <c:v>222500</c:v>
                </c:pt>
                <c:pt idx="444">
                  <c:v>223000</c:v>
                </c:pt>
                <c:pt idx="445">
                  <c:v>223500</c:v>
                </c:pt>
                <c:pt idx="446">
                  <c:v>224000</c:v>
                </c:pt>
                <c:pt idx="447">
                  <c:v>224500</c:v>
                </c:pt>
                <c:pt idx="448">
                  <c:v>225000</c:v>
                </c:pt>
                <c:pt idx="449">
                  <c:v>225500</c:v>
                </c:pt>
                <c:pt idx="450">
                  <c:v>226000</c:v>
                </c:pt>
                <c:pt idx="451">
                  <c:v>226500</c:v>
                </c:pt>
                <c:pt idx="452">
                  <c:v>227000</c:v>
                </c:pt>
                <c:pt idx="453">
                  <c:v>227500</c:v>
                </c:pt>
                <c:pt idx="454">
                  <c:v>228000</c:v>
                </c:pt>
                <c:pt idx="455">
                  <c:v>228500</c:v>
                </c:pt>
                <c:pt idx="456">
                  <c:v>229000</c:v>
                </c:pt>
                <c:pt idx="457">
                  <c:v>229500</c:v>
                </c:pt>
                <c:pt idx="458">
                  <c:v>230000</c:v>
                </c:pt>
                <c:pt idx="459">
                  <c:v>230500</c:v>
                </c:pt>
                <c:pt idx="460">
                  <c:v>231000</c:v>
                </c:pt>
                <c:pt idx="461">
                  <c:v>231500</c:v>
                </c:pt>
                <c:pt idx="462">
                  <c:v>232000</c:v>
                </c:pt>
                <c:pt idx="463">
                  <c:v>232500</c:v>
                </c:pt>
                <c:pt idx="464">
                  <c:v>233000</c:v>
                </c:pt>
                <c:pt idx="465">
                  <c:v>233500</c:v>
                </c:pt>
                <c:pt idx="466">
                  <c:v>234000</c:v>
                </c:pt>
                <c:pt idx="467">
                  <c:v>234500</c:v>
                </c:pt>
                <c:pt idx="468">
                  <c:v>235000</c:v>
                </c:pt>
                <c:pt idx="469">
                  <c:v>235500</c:v>
                </c:pt>
                <c:pt idx="470">
                  <c:v>236000</c:v>
                </c:pt>
                <c:pt idx="471">
                  <c:v>236500</c:v>
                </c:pt>
                <c:pt idx="472">
                  <c:v>237000</c:v>
                </c:pt>
                <c:pt idx="473">
                  <c:v>237500</c:v>
                </c:pt>
                <c:pt idx="474">
                  <c:v>238000</c:v>
                </c:pt>
                <c:pt idx="475">
                  <c:v>238500</c:v>
                </c:pt>
                <c:pt idx="476">
                  <c:v>239000</c:v>
                </c:pt>
                <c:pt idx="477">
                  <c:v>239500</c:v>
                </c:pt>
                <c:pt idx="478">
                  <c:v>240000</c:v>
                </c:pt>
                <c:pt idx="479">
                  <c:v>240500</c:v>
                </c:pt>
                <c:pt idx="480">
                  <c:v>241000</c:v>
                </c:pt>
                <c:pt idx="481">
                  <c:v>241500</c:v>
                </c:pt>
                <c:pt idx="482">
                  <c:v>242000</c:v>
                </c:pt>
                <c:pt idx="483">
                  <c:v>242500</c:v>
                </c:pt>
                <c:pt idx="484">
                  <c:v>243000</c:v>
                </c:pt>
                <c:pt idx="485">
                  <c:v>243500</c:v>
                </c:pt>
                <c:pt idx="486">
                  <c:v>244000</c:v>
                </c:pt>
                <c:pt idx="487">
                  <c:v>244500</c:v>
                </c:pt>
                <c:pt idx="488">
                  <c:v>245000</c:v>
                </c:pt>
                <c:pt idx="489">
                  <c:v>245500</c:v>
                </c:pt>
                <c:pt idx="490">
                  <c:v>246000</c:v>
                </c:pt>
                <c:pt idx="491">
                  <c:v>246500</c:v>
                </c:pt>
                <c:pt idx="492">
                  <c:v>247000</c:v>
                </c:pt>
                <c:pt idx="493">
                  <c:v>247500</c:v>
                </c:pt>
                <c:pt idx="494">
                  <c:v>248000</c:v>
                </c:pt>
                <c:pt idx="495">
                  <c:v>248500</c:v>
                </c:pt>
                <c:pt idx="496">
                  <c:v>249000</c:v>
                </c:pt>
                <c:pt idx="497">
                  <c:v>249500</c:v>
                </c:pt>
                <c:pt idx="498">
                  <c:v>250000</c:v>
                </c:pt>
                <c:pt idx="499">
                  <c:v>250500</c:v>
                </c:pt>
                <c:pt idx="500">
                  <c:v>251000</c:v>
                </c:pt>
                <c:pt idx="501">
                  <c:v>251500</c:v>
                </c:pt>
                <c:pt idx="502">
                  <c:v>252000</c:v>
                </c:pt>
                <c:pt idx="503">
                  <c:v>252500</c:v>
                </c:pt>
                <c:pt idx="504">
                  <c:v>253000</c:v>
                </c:pt>
                <c:pt idx="505">
                  <c:v>253500</c:v>
                </c:pt>
                <c:pt idx="506">
                  <c:v>254000</c:v>
                </c:pt>
                <c:pt idx="507">
                  <c:v>254500</c:v>
                </c:pt>
                <c:pt idx="508">
                  <c:v>255000</c:v>
                </c:pt>
                <c:pt idx="509">
                  <c:v>255500</c:v>
                </c:pt>
                <c:pt idx="510">
                  <c:v>256000</c:v>
                </c:pt>
                <c:pt idx="511">
                  <c:v>256500</c:v>
                </c:pt>
                <c:pt idx="512">
                  <c:v>257000</c:v>
                </c:pt>
                <c:pt idx="513">
                  <c:v>257500</c:v>
                </c:pt>
                <c:pt idx="514">
                  <c:v>258000</c:v>
                </c:pt>
                <c:pt idx="515">
                  <c:v>258500</c:v>
                </c:pt>
                <c:pt idx="516">
                  <c:v>259000</c:v>
                </c:pt>
                <c:pt idx="517">
                  <c:v>259500</c:v>
                </c:pt>
                <c:pt idx="518">
                  <c:v>260000</c:v>
                </c:pt>
                <c:pt idx="519">
                  <c:v>260500</c:v>
                </c:pt>
                <c:pt idx="520">
                  <c:v>261000</c:v>
                </c:pt>
                <c:pt idx="521">
                  <c:v>261500</c:v>
                </c:pt>
                <c:pt idx="522">
                  <c:v>262000</c:v>
                </c:pt>
                <c:pt idx="523">
                  <c:v>262500</c:v>
                </c:pt>
                <c:pt idx="524">
                  <c:v>263000</c:v>
                </c:pt>
                <c:pt idx="525">
                  <c:v>263500</c:v>
                </c:pt>
                <c:pt idx="526">
                  <c:v>264000</c:v>
                </c:pt>
                <c:pt idx="527">
                  <c:v>264500</c:v>
                </c:pt>
                <c:pt idx="528">
                  <c:v>265000</c:v>
                </c:pt>
                <c:pt idx="529">
                  <c:v>265500</c:v>
                </c:pt>
                <c:pt idx="530">
                  <c:v>266000</c:v>
                </c:pt>
                <c:pt idx="531">
                  <c:v>266500</c:v>
                </c:pt>
                <c:pt idx="532">
                  <c:v>267000</c:v>
                </c:pt>
                <c:pt idx="533">
                  <c:v>267500</c:v>
                </c:pt>
                <c:pt idx="534">
                  <c:v>268000</c:v>
                </c:pt>
                <c:pt idx="535">
                  <c:v>268500</c:v>
                </c:pt>
                <c:pt idx="536">
                  <c:v>269000</c:v>
                </c:pt>
                <c:pt idx="537">
                  <c:v>269500</c:v>
                </c:pt>
                <c:pt idx="538">
                  <c:v>270000</c:v>
                </c:pt>
                <c:pt idx="539">
                  <c:v>270500</c:v>
                </c:pt>
                <c:pt idx="540">
                  <c:v>271000</c:v>
                </c:pt>
                <c:pt idx="541">
                  <c:v>271500</c:v>
                </c:pt>
                <c:pt idx="542">
                  <c:v>272000</c:v>
                </c:pt>
                <c:pt idx="543">
                  <c:v>272500</c:v>
                </c:pt>
                <c:pt idx="544">
                  <c:v>273000</c:v>
                </c:pt>
                <c:pt idx="545">
                  <c:v>273500</c:v>
                </c:pt>
                <c:pt idx="546">
                  <c:v>274000</c:v>
                </c:pt>
                <c:pt idx="547">
                  <c:v>274500</c:v>
                </c:pt>
                <c:pt idx="548">
                  <c:v>275000</c:v>
                </c:pt>
                <c:pt idx="549">
                  <c:v>275500</c:v>
                </c:pt>
                <c:pt idx="550">
                  <c:v>276000</c:v>
                </c:pt>
                <c:pt idx="551">
                  <c:v>276500</c:v>
                </c:pt>
                <c:pt idx="552">
                  <c:v>277000</c:v>
                </c:pt>
                <c:pt idx="553">
                  <c:v>277500</c:v>
                </c:pt>
                <c:pt idx="554">
                  <c:v>278000</c:v>
                </c:pt>
                <c:pt idx="555">
                  <c:v>278500</c:v>
                </c:pt>
                <c:pt idx="556">
                  <c:v>279000</c:v>
                </c:pt>
                <c:pt idx="557">
                  <c:v>279500</c:v>
                </c:pt>
                <c:pt idx="558">
                  <c:v>280000</c:v>
                </c:pt>
                <c:pt idx="559">
                  <c:v>280500</c:v>
                </c:pt>
                <c:pt idx="560">
                  <c:v>281000</c:v>
                </c:pt>
                <c:pt idx="561">
                  <c:v>281500</c:v>
                </c:pt>
                <c:pt idx="562">
                  <c:v>282000</c:v>
                </c:pt>
                <c:pt idx="563">
                  <c:v>282500</c:v>
                </c:pt>
                <c:pt idx="564">
                  <c:v>283000</c:v>
                </c:pt>
                <c:pt idx="565">
                  <c:v>283500</c:v>
                </c:pt>
                <c:pt idx="566">
                  <c:v>284000</c:v>
                </c:pt>
                <c:pt idx="567">
                  <c:v>284500</c:v>
                </c:pt>
                <c:pt idx="568">
                  <c:v>285000</c:v>
                </c:pt>
                <c:pt idx="569">
                  <c:v>285500</c:v>
                </c:pt>
                <c:pt idx="570">
                  <c:v>286000</c:v>
                </c:pt>
                <c:pt idx="571">
                  <c:v>286500</c:v>
                </c:pt>
                <c:pt idx="572">
                  <c:v>287000</c:v>
                </c:pt>
                <c:pt idx="573">
                  <c:v>287500</c:v>
                </c:pt>
                <c:pt idx="574">
                  <c:v>288000</c:v>
                </c:pt>
                <c:pt idx="575">
                  <c:v>288500</c:v>
                </c:pt>
                <c:pt idx="576">
                  <c:v>289000</c:v>
                </c:pt>
                <c:pt idx="577">
                  <c:v>289500</c:v>
                </c:pt>
                <c:pt idx="578">
                  <c:v>290000</c:v>
                </c:pt>
                <c:pt idx="579">
                  <c:v>290500</c:v>
                </c:pt>
                <c:pt idx="580">
                  <c:v>291000</c:v>
                </c:pt>
                <c:pt idx="581">
                  <c:v>291500</c:v>
                </c:pt>
                <c:pt idx="582">
                  <c:v>292000</c:v>
                </c:pt>
                <c:pt idx="583">
                  <c:v>292500</c:v>
                </c:pt>
                <c:pt idx="584">
                  <c:v>293000</c:v>
                </c:pt>
                <c:pt idx="585">
                  <c:v>293500</c:v>
                </c:pt>
                <c:pt idx="586">
                  <c:v>294000</c:v>
                </c:pt>
                <c:pt idx="587">
                  <c:v>294500</c:v>
                </c:pt>
                <c:pt idx="588">
                  <c:v>295000</c:v>
                </c:pt>
                <c:pt idx="589">
                  <c:v>295500</c:v>
                </c:pt>
                <c:pt idx="590">
                  <c:v>296000</c:v>
                </c:pt>
                <c:pt idx="591">
                  <c:v>296500</c:v>
                </c:pt>
                <c:pt idx="592">
                  <c:v>297000</c:v>
                </c:pt>
                <c:pt idx="593">
                  <c:v>297500</c:v>
                </c:pt>
                <c:pt idx="594">
                  <c:v>298000</c:v>
                </c:pt>
                <c:pt idx="595">
                  <c:v>298500</c:v>
                </c:pt>
                <c:pt idx="596">
                  <c:v>299000</c:v>
                </c:pt>
                <c:pt idx="597">
                  <c:v>299500</c:v>
                </c:pt>
                <c:pt idx="598">
                  <c:v>300000</c:v>
                </c:pt>
                <c:pt idx="599">
                  <c:v>300500</c:v>
                </c:pt>
                <c:pt idx="600">
                  <c:v>301000</c:v>
                </c:pt>
                <c:pt idx="601">
                  <c:v>301500</c:v>
                </c:pt>
                <c:pt idx="602">
                  <c:v>302000</c:v>
                </c:pt>
                <c:pt idx="603">
                  <c:v>302500</c:v>
                </c:pt>
                <c:pt idx="604">
                  <c:v>303000</c:v>
                </c:pt>
                <c:pt idx="605">
                  <c:v>303500</c:v>
                </c:pt>
                <c:pt idx="606">
                  <c:v>304000</c:v>
                </c:pt>
                <c:pt idx="607">
                  <c:v>304500</c:v>
                </c:pt>
                <c:pt idx="608">
                  <c:v>305000</c:v>
                </c:pt>
                <c:pt idx="609">
                  <c:v>305500</c:v>
                </c:pt>
                <c:pt idx="610">
                  <c:v>306000</c:v>
                </c:pt>
                <c:pt idx="611">
                  <c:v>306500</c:v>
                </c:pt>
                <c:pt idx="612">
                  <c:v>307000</c:v>
                </c:pt>
                <c:pt idx="613">
                  <c:v>307500</c:v>
                </c:pt>
                <c:pt idx="614">
                  <c:v>308000</c:v>
                </c:pt>
                <c:pt idx="615">
                  <c:v>308500</c:v>
                </c:pt>
                <c:pt idx="616">
                  <c:v>309000</c:v>
                </c:pt>
                <c:pt idx="617">
                  <c:v>309500</c:v>
                </c:pt>
                <c:pt idx="618">
                  <c:v>310000</c:v>
                </c:pt>
                <c:pt idx="619">
                  <c:v>310500</c:v>
                </c:pt>
                <c:pt idx="620">
                  <c:v>311000</c:v>
                </c:pt>
                <c:pt idx="621">
                  <c:v>311500</c:v>
                </c:pt>
                <c:pt idx="622">
                  <c:v>312000</c:v>
                </c:pt>
                <c:pt idx="623">
                  <c:v>312500</c:v>
                </c:pt>
                <c:pt idx="624">
                  <c:v>313000</c:v>
                </c:pt>
                <c:pt idx="625">
                  <c:v>313500</c:v>
                </c:pt>
                <c:pt idx="626">
                  <c:v>314000</c:v>
                </c:pt>
                <c:pt idx="627">
                  <c:v>314500</c:v>
                </c:pt>
                <c:pt idx="628">
                  <c:v>315000</c:v>
                </c:pt>
                <c:pt idx="629">
                  <c:v>315500</c:v>
                </c:pt>
                <c:pt idx="630">
                  <c:v>316000</c:v>
                </c:pt>
                <c:pt idx="631">
                  <c:v>316500</c:v>
                </c:pt>
                <c:pt idx="632">
                  <c:v>317000</c:v>
                </c:pt>
                <c:pt idx="633">
                  <c:v>317500</c:v>
                </c:pt>
                <c:pt idx="634">
                  <c:v>318000</c:v>
                </c:pt>
                <c:pt idx="635">
                  <c:v>318500</c:v>
                </c:pt>
                <c:pt idx="636">
                  <c:v>319000</c:v>
                </c:pt>
                <c:pt idx="637">
                  <c:v>319500</c:v>
                </c:pt>
                <c:pt idx="638">
                  <c:v>320000</c:v>
                </c:pt>
                <c:pt idx="639">
                  <c:v>320500</c:v>
                </c:pt>
                <c:pt idx="640">
                  <c:v>321000</c:v>
                </c:pt>
                <c:pt idx="641">
                  <c:v>321500</c:v>
                </c:pt>
                <c:pt idx="642">
                  <c:v>322000</c:v>
                </c:pt>
                <c:pt idx="643">
                  <c:v>322500</c:v>
                </c:pt>
                <c:pt idx="644">
                  <c:v>323000</c:v>
                </c:pt>
                <c:pt idx="645">
                  <c:v>323500</c:v>
                </c:pt>
                <c:pt idx="646">
                  <c:v>324000</c:v>
                </c:pt>
                <c:pt idx="647">
                  <c:v>324500</c:v>
                </c:pt>
                <c:pt idx="648">
                  <c:v>325000</c:v>
                </c:pt>
                <c:pt idx="649">
                  <c:v>325500</c:v>
                </c:pt>
                <c:pt idx="650">
                  <c:v>326000</c:v>
                </c:pt>
                <c:pt idx="651">
                  <c:v>326500</c:v>
                </c:pt>
                <c:pt idx="652">
                  <c:v>327000</c:v>
                </c:pt>
                <c:pt idx="653">
                  <c:v>327500</c:v>
                </c:pt>
                <c:pt idx="654">
                  <c:v>328000</c:v>
                </c:pt>
                <c:pt idx="655">
                  <c:v>328500</c:v>
                </c:pt>
                <c:pt idx="656">
                  <c:v>329000</c:v>
                </c:pt>
                <c:pt idx="657">
                  <c:v>329500</c:v>
                </c:pt>
                <c:pt idx="658">
                  <c:v>330000</c:v>
                </c:pt>
                <c:pt idx="659">
                  <c:v>330500</c:v>
                </c:pt>
                <c:pt idx="660">
                  <c:v>331000</c:v>
                </c:pt>
                <c:pt idx="661">
                  <c:v>331500</c:v>
                </c:pt>
                <c:pt idx="662">
                  <c:v>332000</c:v>
                </c:pt>
                <c:pt idx="663">
                  <c:v>332500</c:v>
                </c:pt>
                <c:pt idx="664">
                  <c:v>333000</c:v>
                </c:pt>
                <c:pt idx="665">
                  <c:v>333500</c:v>
                </c:pt>
                <c:pt idx="666">
                  <c:v>334000</c:v>
                </c:pt>
                <c:pt idx="667">
                  <c:v>334500</c:v>
                </c:pt>
                <c:pt idx="668">
                  <c:v>335000</c:v>
                </c:pt>
                <c:pt idx="669">
                  <c:v>335500</c:v>
                </c:pt>
                <c:pt idx="670">
                  <c:v>336000</c:v>
                </c:pt>
                <c:pt idx="671">
                  <c:v>336500</c:v>
                </c:pt>
                <c:pt idx="672">
                  <c:v>337000</c:v>
                </c:pt>
                <c:pt idx="673">
                  <c:v>337500</c:v>
                </c:pt>
                <c:pt idx="674">
                  <c:v>338000</c:v>
                </c:pt>
                <c:pt idx="675">
                  <c:v>338500</c:v>
                </c:pt>
                <c:pt idx="676">
                  <c:v>339000</c:v>
                </c:pt>
                <c:pt idx="677">
                  <c:v>339500</c:v>
                </c:pt>
                <c:pt idx="678">
                  <c:v>340000</c:v>
                </c:pt>
                <c:pt idx="679">
                  <c:v>340500</c:v>
                </c:pt>
                <c:pt idx="680">
                  <c:v>341000</c:v>
                </c:pt>
                <c:pt idx="681">
                  <c:v>341500</c:v>
                </c:pt>
                <c:pt idx="682">
                  <c:v>342000</c:v>
                </c:pt>
                <c:pt idx="683">
                  <c:v>342500</c:v>
                </c:pt>
                <c:pt idx="684">
                  <c:v>343000</c:v>
                </c:pt>
                <c:pt idx="685">
                  <c:v>343500</c:v>
                </c:pt>
                <c:pt idx="686">
                  <c:v>344000</c:v>
                </c:pt>
                <c:pt idx="687">
                  <c:v>344500</c:v>
                </c:pt>
                <c:pt idx="688">
                  <c:v>345000</c:v>
                </c:pt>
                <c:pt idx="689">
                  <c:v>345500</c:v>
                </c:pt>
                <c:pt idx="690">
                  <c:v>346000</c:v>
                </c:pt>
                <c:pt idx="691">
                  <c:v>346500</c:v>
                </c:pt>
                <c:pt idx="692">
                  <c:v>347000</c:v>
                </c:pt>
                <c:pt idx="693">
                  <c:v>347500</c:v>
                </c:pt>
                <c:pt idx="694">
                  <c:v>348000</c:v>
                </c:pt>
                <c:pt idx="695">
                  <c:v>348500</c:v>
                </c:pt>
                <c:pt idx="696">
                  <c:v>349000</c:v>
                </c:pt>
                <c:pt idx="697">
                  <c:v>349500</c:v>
                </c:pt>
                <c:pt idx="698">
                  <c:v>350000</c:v>
                </c:pt>
                <c:pt idx="699">
                  <c:v>350500</c:v>
                </c:pt>
                <c:pt idx="700">
                  <c:v>351000</c:v>
                </c:pt>
                <c:pt idx="701">
                  <c:v>351500</c:v>
                </c:pt>
                <c:pt idx="702">
                  <c:v>352000</c:v>
                </c:pt>
              </c:numCache>
            </c:numRef>
          </c:xVal>
          <c:yVal>
            <c:numRef>
              <c:f>Sheet1!$AB$39:$AB$741</c:f>
              <c:numCache>
                <c:formatCode>0%</c:formatCode>
                <c:ptCount val="703"/>
                <c:pt idx="0">
                  <c:v>-0.45</c:v>
                </c:pt>
                <c:pt idx="1">
                  <c:v>-0.45</c:v>
                </c:pt>
                <c:pt idx="2">
                  <c:v>-0.45</c:v>
                </c:pt>
                <c:pt idx="3">
                  <c:v>-0.45</c:v>
                </c:pt>
                <c:pt idx="4">
                  <c:v>-0.45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-0.53800000000000003</c:v>
                </c:pt>
                <c:pt idx="27">
                  <c:v>-0.15</c:v>
                </c:pt>
                <c:pt idx="28">
                  <c:v>-0.15</c:v>
                </c:pt>
                <c:pt idx="29">
                  <c:v>-0.15</c:v>
                </c:pt>
                <c:pt idx="30">
                  <c:v>-0.15</c:v>
                </c:pt>
                <c:pt idx="31">
                  <c:v>-0.15</c:v>
                </c:pt>
                <c:pt idx="32">
                  <c:v>-0.15</c:v>
                </c:pt>
                <c:pt idx="33">
                  <c:v>-0.15</c:v>
                </c:pt>
                <c:pt idx="34">
                  <c:v>-0.15</c:v>
                </c:pt>
                <c:pt idx="35">
                  <c:v>-0.15</c:v>
                </c:pt>
                <c:pt idx="36">
                  <c:v>-0.15</c:v>
                </c:pt>
                <c:pt idx="37">
                  <c:v>-0.15</c:v>
                </c:pt>
                <c:pt idx="38">
                  <c:v>-0.15</c:v>
                </c:pt>
                <c:pt idx="39">
                  <c:v>-0.15</c:v>
                </c:pt>
                <c:pt idx="40">
                  <c:v>-0.15</c:v>
                </c:pt>
                <c:pt idx="41">
                  <c:v>-0.15</c:v>
                </c:pt>
                <c:pt idx="42">
                  <c:v>-0.15</c:v>
                </c:pt>
                <c:pt idx="43">
                  <c:v>-0.15</c:v>
                </c:pt>
                <c:pt idx="44">
                  <c:v>-0.15</c:v>
                </c:pt>
                <c:pt idx="45">
                  <c:v>-0.15</c:v>
                </c:pt>
                <c:pt idx="46">
                  <c:v>-4.0489233924126893E-2</c:v>
                </c:pt>
                <c:pt idx="47">
                  <c:v>6.0597627068993458E-2</c:v>
                </c:pt>
                <c:pt idx="48">
                  <c:v>6.0597627068989822E-2</c:v>
                </c:pt>
                <c:pt idx="49">
                  <c:v>6.0597627068989822E-2</c:v>
                </c:pt>
                <c:pt idx="50">
                  <c:v>6.0597627068993458E-2</c:v>
                </c:pt>
                <c:pt idx="51">
                  <c:v>6.0597627068989822E-2</c:v>
                </c:pt>
                <c:pt idx="52">
                  <c:v>6.0597627068989822E-2</c:v>
                </c:pt>
                <c:pt idx="53">
                  <c:v>6.0597627068993458E-2</c:v>
                </c:pt>
                <c:pt idx="54">
                  <c:v>6.0597627068986186E-2</c:v>
                </c:pt>
                <c:pt idx="55">
                  <c:v>6.0597627068993458E-2</c:v>
                </c:pt>
                <c:pt idx="56">
                  <c:v>6.0597627068989822E-2</c:v>
                </c:pt>
                <c:pt idx="57">
                  <c:v>6.0597627068989822E-2</c:v>
                </c:pt>
                <c:pt idx="58">
                  <c:v>6.0597627068993458E-2</c:v>
                </c:pt>
                <c:pt idx="59">
                  <c:v>6.0597627068989822E-2</c:v>
                </c:pt>
                <c:pt idx="60">
                  <c:v>6.0597627068989822E-2</c:v>
                </c:pt>
                <c:pt idx="61">
                  <c:v>6.0597627068993458E-2</c:v>
                </c:pt>
                <c:pt idx="62">
                  <c:v>6.0597627068989822E-2</c:v>
                </c:pt>
                <c:pt idx="63">
                  <c:v>6.0597627068989822E-2</c:v>
                </c:pt>
                <c:pt idx="64">
                  <c:v>6.0597627068993458E-2</c:v>
                </c:pt>
                <c:pt idx="65">
                  <c:v>6.0597627068989822E-2</c:v>
                </c:pt>
                <c:pt idx="66">
                  <c:v>6.0597627068989822E-2</c:v>
                </c:pt>
                <c:pt idx="67">
                  <c:v>6.0597627068989822E-2</c:v>
                </c:pt>
                <c:pt idx="68">
                  <c:v>6.0597627068989822E-2</c:v>
                </c:pt>
                <c:pt idx="69">
                  <c:v>6.0597627068993458E-2</c:v>
                </c:pt>
                <c:pt idx="70">
                  <c:v>6.0597627068989822E-2</c:v>
                </c:pt>
                <c:pt idx="71">
                  <c:v>0.11059762706898982</c:v>
                </c:pt>
                <c:pt idx="72">
                  <c:v>0.21059762706899346</c:v>
                </c:pt>
                <c:pt idx="73">
                  <c:v>0.21059762706898982</c:v>
                </c:pt>
                <c:pt idx="74">
                  <c:v>0.21059762706898982</c:v>
                </c:pt>
                <c:pt idx="75">
                  <c:v>0.21059762706898982</c:v>
                </c:pt>
                <c:pt idx="76">
                  <c:v>0.21059762706899166</c:v>
                </c:pt>
                <c:pt idx="77">
                  <c:v>0.21059762706899166</c:v>
                </c:pt>
                <c:pt idx="78">
                  <c:v>0.21059762706898982</c:v>
                </c:pt>
                <c:pt idx="79">
                  <c:v>0.21059762706899166</c:v>
                </c:pt>
                <c:pt idx="80">
                  <c:v>0.22059762706899164</c:v>
                </c:pt>
                <c:pt idx="81">
                  <c:v>0.3105976270689898</c:v>
                </c:pt>
                <c:pt idx="82">
                  <c:v>0.3105976270689898</c:v>
                </c:pt>
                <c:pt idx="83">
                  <c:v>0.31059762706899163</c:v>
                </c:pt>
                <c:pt idx="84">
                  <c:v>0.31059762706899163</c:v>
                </c:pt>
                <c:pt idx="85">
                  <c:v>0.3105976270689898</c:v>
                </c:pt>
                <c:pt idx="86">
                  <c:v>0.31059762706899163</c:v>
                </c:pt>
                <c:pt idx="87">
                  <c:v>0.3105976270689898</c:v>
                </c:pt>
                <c:pt idx="88">
                  <c:v>0.31059762706899163</c:v>
                </c:pt>
                <c:pt idx="89">
                  <c:v>0.3105976270689898</c:v>
                </c:pt>
                <c:pt idx="90">
                  <c:v>0.31059762706899163</c:v>
                </c:pt>
                <c:pt idx="91">
                  <c:v>0.3105976270689898</c:v>
                </c:pt>
                <c:pt idx="92">
                  <c:v>0.31059762706899163</c:v>
                </c:pt>
                <c:pt idx="93">
                  <c:v>0.3105976270689898</c:v>
                </c:pt>
                <c:pt idx="94">
                  <c:v>0.31059762706899163</c:v>
                </c:pt>
                <c:pt idx="95">
                  <c:v>0.3105976270689898</c:v>
                </c:pt>
                <c:pt idx="96">
                  <c:v>0.31059762706899163</c:v>
                </c:pt>
                <c:pt idx="97">
                  <c:v>0.3105976270689898</c:v>
                </c:pt>
                <c:pt idx="98">
                  <c:v>0.31059762706899163</c:v>
                </c:pt>
                <c:pt idx="99">
                  <c:v>0.3105976270689898</c:v>
                </c:pt>
                <c:pt idx="100">
                  <c:v>0.31059762706899163</c:v>
                </c:pt>
                <c:pt idx="101">
                  <c:v>0.31059762706899163</c:v>
                </c:pt>
                <c:pt idx="102">
                  <c:v>0.3105976270689898</c:v>
                </c:pt>
                <c:pt idx="103">
                  <c:v>0.31059762706899163</c:v>
                </c:pt>
                <c:pt idx="104">
                  <c:v>0.3105976270689898</c:v>
                </c:pt>
                <c:pt idx="105">
                  <c:v>0.31059762706899163</c:v>
                </c:pt>
                <c:pt idx="106">
                  <c:v>0.10322923685366732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0.15</c:v>
                </c:pt>
                <c:pt idx="119">
                  <c:v>0.15</c:v>
                </c:pt>
                <c:pt idx="120">
                  <c:v>0.15</c:v>
                </c:pt>
                <c:pt idx="121">
                  <c:v>0.15</c:v>
                </c:pt>
                <c:pt idx="122">
                  <c:v>0.15</c:v>
                </c:pt>
                <c:pt idx="123">
                  <c:v>0.15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0.15</c:v>
                </c:pt>
                <c:pt idx="157">
                  <c:v>0.15</c:v>
                </c:pt>
                <c:pt idx="158">
                  <c:v>0.15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0.15</c:v>
                </c:pt>
                <c:pt idx="164">
                  <c:v>0.15</c:v>
                </c:pt>
                <c:pt idx="165">
                  <c:v>0.15</c:v>
                </c:pt>
                <c:pt idx="166">
                  <c:v>0.15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0.15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0.15</c:v>
                </c:pt>
                <c:pt idx="178">
                  <c:v>0.15</c:v>
                </c:pt>
                <c:pt idx="179">
                  <c:v>0.15</c:v>
                </c:pt>
                <c:pt idx="180">
                  <c:v>0.15</c:v>
                </c:pt>
                <c:pt idx="181">
                  <c:v>0.15</c:v>
                </c:pt>
                <c:pt idx="182">
                  <c:v>0.15</c:v>
                </c:pt>
                <c:pt idx="183">
                  <c:v>0.15</c:v>
                </c:pt>
                <c:pt idx="184">
                  <c:v>0.15</c:v>
                </c:pt>
                <c:pt idx="185">
                  <c:v>0.15</c:v>
                </c:pt>
                <c:pt idx="186">
                  <c:v>0.15</c:v>
                </c:pt>
                <c:pt idx="187">
                  <c:v>0.15</c:v>
                </c:pt>
                <c:pt idx="188">
                  <c:v>0.15</c:v>
                </c:pt>
                <c:pt idx="189">
                  <c:v>0.15</c:v>
                </c:pt>
                <c:pt idx="190">
                  <c:v>0.15</c:v>
                </c:pt>
                <c:pt idx="191">
                  <c:v>0.15</c:v>
                </c:pt>
                <c:pt idx="192">
                  <c:v>0.15</c:v>
                </c:pt>
                <c:pt idx="193">
                  <c:v>0.15</c:v>
                </c:pt>
                <c:pt idx="194">
                  <c:v>0.15</c:v>
                </c:pt>
                <c:pt idx="195">
                  <c:v>0.15</c:v>
                </c:pt>
                <c:pt idx="196">
                  <c:v>0.15</c:v>
                </c:pt>
                <c:pt idx="197">
                  <c:v>0.15</c:v>
                </c:pt>
                <c:pt idx="198">
                  <c:v>0.15</c:v>
                </c:pt>
                <c:pt idx="199">
                  <c:v>0.15</c:v>
                </c:pt>
                <c:pt idx="200">
                  <c:v>0.15</c:v>
                </c:pt>
                <c:pt idx="201">
                  <c:v>0.15</c:v>
                </c:pt>
                <c:pt idx="202">
                  <c:v>0.15</c:v>
                </c:pt>
                <c:pt idx="203">
                  <c:v>0.15</c:v>
                </c:pt>
                <c:pt idx="204">
                  <c:v>0.15</c:v>
                </c:pt>
                <c:pt idx="205">
                  <c:v>0.15</c:v>
                </c:pt>
                <c:pt idx="206">
                  <c:v>0.15</c:v>
                </c:pt>
                <c:pt idx="207">
                  <c:v>0.15</c:v>
                </c:pt>
                <c:pt idx="208">
                  <c:v>0.15</c:v>
                </c:pt>
                <c:pt idx="209">
                  <c:v>0.15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0.15</c:v>
                </c:pt>
                <c:pt idx="214">
                  <c:v>0.15</c:v>
                </c:pt>
                <c:pt idx="215">
                  <c:v>0.15</c:v>
                </c:pt>
                <c:pt idx="216">
                  <c:v>0.15</c:v>
                </c:pt>
                <c:pt idx="217">
                  <c:v>0.15</c:v>
                </c:pt>
                <c:pt idx="218">
                  <c:v>0.15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0.25</c:v>
                </c:pt>
                <c:pt idx="232">
                  <c:v>0.3</c:v>
                </c:pt>
                <c:pt idx="233">
                  <c:v>0.3</c:v>
                </c:pt>
                <c:pt idx="234">
                  <c:v>0.3</c:v>
                </c:pt>
                <c:pt idx="235">
                  <c:v>0.3</c:v>
                </c:pt>
                <c:pt idx="236">
                  <c:v>0.3</c:v>
                </c:pt>
                <c:pt idx="237">
                  <c:v>0.3</c:v>
                </c:pt>
                <c:pt idx="238">
                  <c:v>0.3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0.3</c:v>
                </c:pt>
                <c:pt idx="246">
                  <c:v>0.3</c:v>
                </c:pt>
                <c:pt idx="247">
                  <c:v>0.3</c:v>
                </c:pt>
                <c:pt idx="248">
                  <c:v>0.3</c:v>
                </c:pt>
                <c:pt idx="249">
                  <c:v>0.3</c:v>
                </c:pt>
                <c:pt idx="250">
                  <c:v>0.3</c:v>
                </c:pt>
                <c:pt idx="251">
                  <c:v>0.3</c:v>
                </c:pt>
                <c:pt idx="252">
                  <c:v>0.3</c:v>
                </c:pt>
                <c:pt idx="253">
                  <c:v>0.3</c:v>
                </c:pt>
                <c:pt idx="254">
                  <c:v>0.3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0.3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0.3</c:v>
                </c:pt>
                <c:pt idx="266">
                  <c:v>0.3</c:v>
                </c:pt>
                <c:pt idx="267">
                  <c:v>0.3</c:v>
                </c:pt>
                <c:pt idx="268">
                  <c:v>0.3</c:v>
                </c:pt>
                <c:pt idx="269">
                  <c:v>0.3</c:v>
                </c:pt>
                <c:pt idx="270">
                  <c:v>0.3</c:v>
                </c:pt>
                <c:pt idx="271">
                  <c:v>0.3</c:v>
                </c:pt>
                <c:pt idx="272">
                  <c:v>0.3</c:v>
                </c:pt>
                <c:pt idx="273">
                  <c:v>0.3</c:v>
                </c:pt>
                <c:pt idx="274">
                  <c:v>0.3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0.3</c:v>
                </c:pt>
                <c:pt idx="284">
                  <c:v>0.3</c:v>
                </c:pt>
                <c:pt idx="285">
                  <c:v>0.3</c:v>
                </c:pt>
                <c:pt idx="286">
                  <c:v>0.3</c:v>
                </c:pt>
                <c:pt idx="287">
                  <c:v>0.3</c:v>
                </c:pt>
                <c:pt idx="288">
                  <c:v>0.3</c:v>
                </c:pt>
                <c:pt idx="289">
                  <c:v>0.3</c:v>
                </c:pt>
                <c:pt idx="290">
                  <c:v>0.3</c:v>
                </c:pt>
                <c:pt idx="291">
                  <c:v>0.3</c:v>
                </c:pt>
                <c:pt idx="292">
                  <c:v>0.3</c:v>
                </c:pt>
                <c:pt idx="293">
                  <c:v>0.3</c:v>
                </c:pt>
                <c:pt idx="294">
                  <c:v>0.3</c:v>
                </c:pt>
                <c:pt idx="295">
                  <c:v>0.3</c:v>
                </c:pt>
                <c:pt idx="296">
                  <c:v>0.3</c:v>
                </c:pt>
                <c:pt idx="297">
                  <c:v>0.3</c:v>
                </c:pt>
                <c:pt idx="298">
                  <c:v>0.3</c:v>
                </c:pt>
                <c:pt idx="299">
                  <c:v>0.3</c:v>
                </c:pt>
                <c:pt idx="300">
                  <c:v>0.3</c:v>
                </c:pt>
                <c:pt idx="301">
                  <c:v>0.3</c:v>
                </c:pt>
                <c:pt idx="302">
                  <c:v>0.3</c:v>
                </c:pt>
                <c:pt idx="303">
                  <c:v>0.3</c:v>
                </c:pt>
                <c:pt idx="304">
                  <c:v>0.3</c:v>
                </c:pt>
                <c:pt idx="305">
                  <c:v>0.3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0.3</c:v>
                </c:pt>
                <c:pt idx="310">
                  <c:v>0.3</c:v>
                </c:pt>
                <c:pt idx="311">
                  <c:v>0.3</c:v>
                </c:pt>
                <c:pt idx="312">
                  <c:v>0.3</c:v>
                </c:pt>
                <c:pt idx="313">
                  <c:v>0.3</c:v>
                </c:pt>
                <c:pt idx="314">
                  <c:v>0.3</c:v>
                </c:pt>
                <c:pt idx="315">
                  <c:v>0.3</c:v>
                </c:pt>
                <c:pt idx="316">
                  <c:v>0.3</c:v>
                </c:pt>
                <c:pt idx="317">
                  <c:v>0.3</c:v>
                </c:pt>
                <c:pt idx="318">
                  <c:v>0.3</c:v>
                </c:pt>
                <c:pt idx="319">
                  <c:v>0.3</c:v>
                </c:pt>
                <c:pt idx="320">
                  <c:v>0.3</c:v>
                </c:pt>
                <c:pt idx="321">
                  <c:v>0.3</c:v>
                </c:pt>
                <c:pt idx="322">
                  <c:v>0.3</c:v>
                </c:pt>
                <c:pt idx="323">
                  <c:v>0.3</c:v>
                </c:pt>
                <c:pt idx="324">
                  <c:v>0.3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0.3</c:v>
                </c:pt>
                <c:pt idx="330">
                  <c:v>0.3</c:v>
                </c:pt>
                <c:pt idx="331">
                  <c:v>0.3</c:v>
                </c:pt>
                <c:pt idx="332">
                  <c:v>0.3</c:v>
                </c:pt>
                <c:pt idx="333">
                  <c:v>0.3</c:v>
                </c:pt>
                <c:pt idx="334">
                  <c:v>0.3</c:v>
                </c:pt>
                <c:pt idx="335">
                  <c:v>0.3</c:v>
                </c:pt>
                <c:pt idx="336">
                  <c:v>0.3</c:v>
                </c:pt>
                <c:pt idx="337">
                  <c:v>0.3</c:v>
                </c:pt>
                <c:pt idx="338">
                  <c:v>0.3</c:v>
                </c:pt>
                <c:pt idx="339">
                  <c:v>0.3</c:v>
                </c:pt>
                <c:pt idx="340">
                  <c:v>0.3</c:v>
                </c:pt>
                <c:pt idx="341">
                  <c:v>0.3</c:v>
                </c:pt>
                <c:pt idx="342">
                  <c:v>0.3</c:v>
                </c:pt>
                <c:pt idx="343">
                  <c:v>0.3</c:v>
                </c:pt>
                <c:pt idx="344">
                  <c:v>0.3</c:v>
                </c:pt>
                <c:pt idx="345">
                  <c:v>0.3</c:v>
                </c:pt>
                <c:pt idx="346">
                  <c:v>0.3</c:v>
                </c:pt>
                <c:pt idx="347">
                  <c:v>0.3</c:v>
                </c:pt>
                <c:pt idx="348">
                  <c:v>0.3</c:v>
                </c:pt>
                <c:pt idx="349">
                  <c:v>0.3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0.3</c:v>
                </c:pt>
                <c:pt idx="358">
                  <c:v>0.35299999999999998</c:v>
                </c:pt>
                <c:pt idx="359">
                  <c:v>0.375</c:v>
                </c:pt>
                <c:pt idx="360">
                  <c:v>0.375</c:v>
                </c:pt>
                <c:pt idx="361">
                  <c:v>0.375</c:v>
                </c:pt>
                <c:pt idx="362">
                  <c:v>0.375</c:v>
                </c:pt>
                <c:pt idx="363">
                  <c:v>0.375</c:v>
                </c:pt>
                <c:pt idx="364">
                  <c:v>0.375</c:v>
                </c:pt>
                <c:pt idx="365">
                  <c:v>0.375</c:v>
                </c:pt>
                <c:pt idx="366">
                  <c:v>0.375</c:v>
                </c:pt>
                <c:pt idx="367">
                  <c:v>0.375</c:v>
                </c:pt>
                <c:pt idx="368">
                  <c:v>0.375</c:v>
                </c:pt>
                <c:pt idx="369">
                  <c:v>0.375</c:v>
                </c:pt>
                <c:pt idx="370">
                  <c:v>0.375</c:v>
                </c:pt>
                <c:pt idx="371">
                  <c:v>0.375</c:v>
                </c:pt>
                <c:pt idx="372">
                  <c:v>0.375</c:v>
                </c:pt>
                <c:pt idx="373">
                  <c:v>0.375</c:v>
                </c:pt>
                <c:pt idx="374">
                  <c:v>0.375</c:v>
                </c:pt>
                <c:pt idx="375">
                  <c:v>0.375</c:v>
                </c:pt>
                <c:pt idx="376">
                  <c:v>0.375</c:v>
                </c:pt>
                <c:pt idx="377">
                  <c:v>0.375</c:v>
                </c:pt>
                <c:pt idx="378">
                  <c:v>0.375</c:v>
                </c:pt>
                <c:pt idx="379">
                  <c:v>0.375</c:v>
                </c:pt>
                <c:pt idx="380">
                  <c:v>0.375</c:v>
                </c:pt>
                <c:pt idx="381">
                  <c:v>0.375</c:v>
                </c:pt>
                <c:pt idx="382">
                  <c:v>0.375</c:v>
                </c:pt>
                <c:pt idx="383">
                  <c:v>0.375</c:v>
                </c:pt>
                <c:pt idx="384">
                  <c:v>0.375</c:v>
                </c:pt>
                <c:pt idx="385">
                  <c:v>0.375</c:v>
                </c:pt>
                <c:pt idx="386">
                  <c:v>0.375</c:v>
                </c:pt>
                <c:pt idx="387">
                  <c:v>0.375</c:v>
                </c:pt>
                <c:pt idx="388">
                  <c:v>0.375</c:v>
                </c:pt>
                <c:pt idx="389">
                  <c:v>0.375</c:v>
                </c:pt>
                <c:pt idx="390">
                  <c:v>0.375</c:v>
                </c:pt>
                <c:pt idx="391">
                  <c:v>0.375</c:v>
                </c:pt>
                <c:pt idx="392">
                  <c:v>0.375</c:v>
                </c:pt>
                <c:pt idx="393">
                  <c:v>0.375</c:v>
                </c:pt>
                <c:pt idx="394">
                  <c:v>0.375</c:v>
                </c:pt>
                <c:pt idx="395">
                  <c:v>0.375</c:v>
                </c:pt>
                <c:pt idx="396">
                  <c:v>0.375</c:v>
                </c:pt>
                <c:pt idx="397">
                  <c:v>0.375</c:v>
                </c:pt>
                <c:pt idx="398">
                  <c:v>0.375</c:v>
                </c:pt>
                <c:pt idx="399">
                  <c:v>0.375</c:v>
                </c:pt>
                <c:pt idx="400">
                  <c:v>0.375</c:v>
                </c:pt>
                <c:pt idx="401">
                  <c:v>0.375</c:v>
                </c:pt>
                <c:pt idx="402">
                  <c:v>0.375</c:v>
                </c:pt>
                <c:pt idx="403">
                  <c:v>0.375</c:v>
                </c:pt>
                <c:pt idx="404">
                  <c:v>0.375</c:v>
                </c:pt>
                <c:pt idx="405">
                  <c:v>0.375</c:v>
                </c:pt>
                <c:pt idx="406">
                  <c:v>0.375</c:v>
                </c:pt>
                <c:pt idx="407">
                  <c:v>0.375</c:v>
                </c:pt>
                <c:pt idx="408">
                  <c:v>0.375</c:v>
                </c:pt>
                <c:pt idx="409">
                  <c:v>0.375</c:v>
                </c:pt>
                <c:pt idx="410">
                  <c:v>0.375</c:v>
                </c:pt>
                <c:pt idx="411">
                  <c:v>0.375</c:v>
                </c:pt>
                <c:pt idx="412">
                  <c:v>0.375</c:v>
                </c:pt>
                <c:pt idx="413">
                  <c:v>0.375</c:v>
                </c:pt>
                <c:pt idx="414">
                  <c:v>0.375</c:v>
                </c:pt>
                <c:pt idx="415">
                  <c:v>0.375</c:v>
                </c:pt>
                <c:pt idx="416">
                  <c:v>0.375</c:v>
                </c:pt>
                <c:pt idx="417">
                  <c:v>0.375</c:v>
                </c:pt>
                <c:pt idx="418">
                  <c:v>0.375</c:v>
                </c:pt>
                <c:pt idx="419">
                  <c:v>0.32500000000000001</c:v>
                </c:pt>
                <c:pt idx="420">
                  <c:v>0.32500000000000001</c:v>
                </c:pt>
                <c:pt idx="421">
                  <c:v>0.32500000000000001</c:v>
                </c:pt>
                <c:pt idx="422">
                  <c:v>0.32500000000000001</c:v>
                </c:pt>
                <c:pt idx="423">
                  <c:v>0.32500000000000001</c:v>
                </c:pt>
                <c:pt idx="424">
                  <c:v>0.32500000000000001</c:v>
                </c:pt>
                <c:pt idx="425">
                  <c:v>0.32500000000000001</c:v>
                </c:pt>
                <c:pt idx="426">
                  <c:v>0.32500000000000001</c:v>
                </c:pt>
                <c:pt idx="427">
                  <c:v>0.32500000000000001</c:v>
                </c:pt>
                <c:pt idx="428">
                  <c:v>0.32500000000000001</c:v>
                </c:pt>
                <c:pt idx="429">
                  <c:v>0.32500000000000001</c:v>
                </c:pt>
                <c:pt idx="430">
                  <c:v>0.32500000000000001</c:v>
                </c:pt>
                <c:pt idx="431">
                  <c:v>0.32500000000000001</c:v>
                </c:pt>
                <c:pt idx="432">
                  <c:v>0.32500000000000001</c:v>
                </c:pt>
                <c:pt idx="433">
                  <c:v>0.32500000000000001</c:v>
                </c:pt>
                <c:pt idx="434">
                  <c:v>0.32500000000000001</c:v>
                </c:pt>
                <c:pt idx="435">
                  <c:v>0.32500000000000001</c:v>
                </c:pt>
                <c:pt idx="436">
                  <c:v>0.32500000000000001</c:v>
                </c:pt>
                <c:pt idx="437">
                  <c:v>0.32500000000000001</c:v>
                </c:pt>
                <c:pt idx="438">
                  <c:v>0.32500000000000001</c:v>
                </c:pt>
                <c:pt idx="439">
                  <c:v>0.32500000000000001</c:v>
                </c:pt>
                <c:pt idx="440">
                  <c:v>0.32500000000000001</c:v>
                </c:pt>
                <c:pt idx="441">
                  <c:v>0.32500000000000001</c:v>
                </c:pt>
                <c:pt idx="442">
                  <c:v>0.32500000000000001</c:v>
                </c:pt>
                <c:pt idx="443">
                  <c:v>0.32500000000000001</c:v>
                </c:pt>
                <c:pt idx="444">
                  <c:v>0.32500000000000001</c:v>
                </c:pt>
                <c:pt idx="445">
                  <c:v>0.32500000000000001</c:v>
                </c:pt>
                <c:pt idx="446">
                  <c:v>0.32500000000000001</c:v>
                </c:pt>
                <c:pt idx="447">
                  <c:v>0.32500000000000001</c:v>
                </c:pt>
                <c:pt idx="448">
                  <c:v>0.32500000000000001</c:v>
                </c:pt>
                <c:pt idx="449">
                  <c:v>0.32500000000000001</c:v>
                </c:pt>
                <c:pt idx="450">
                  <c:v>0.32500000000000001</c:v>
                </c:pt>
                <c:pt idx="451">
                  <c:v>0.32500000000000001</c:v>
                </c:pt>
                <c:pt idx="452">
                  <c:v>0.32500000000000001</c:v>
                </c:pt>
                <c:pt idx="453">
                  <c:v>0.32500000000000001</c:v>
                </c:pt>
                <c:pt idx="454">
                  <c:v>0.32500000000000001</c:v>
                </c:pt>
                <c:pt idx="455">
                  <c:v>0.32500000000000001</c:v>
                </c:pt>
                <c:pt idx="456">
                  <c:v>0.32500000000000001</c:v>
                </c:pt>
                <c:pt idx="457">
                  <c:v>0.32500000000000001</c:v>
                </c:pt>
                <c:pt idx="458">
                  <c:v>0.32500000000000001</c:v>
                </c:pt>
                <c:pt idx="459">
                  <c:v>0.32500000000000001</c:v>
                </c:pt>
                <c:pt idx="460">
                  <c:v>0.32500000000000001</c:v>
                </c:pt>
                <c:pt idx="461">
                  <c:v>0.32500000000000001</c:v>
                </c:pt>
                <c:pt idx="462">
                  <c:v>0.32500000000000001</c:v>
                </c:pt>
                <c:pt idx="463">
                  <c:v>0.32500000000000001</c:v>
                </c:pt>
                <c:pt idx="464">
                  <c:v>0.32500000000000001</c:v>
                </c:pt>
                <c:pt idx="465">
                  <c:v>0.32500000000000001</c:v>
                </c:pt>
                <c:pt idx="466">
                  <c:v>0.32500000000000001</c:v>
                </c:pt>
                <c:pt idx="467">
                  <c:v>0.32500000000000001</c:v>
                </c:pt>
                <c:pt idx="468">
                  <c:v>0.32500000000000001</c:v>
                </c:pt>
                <c:pt idx="469">
                  <c:v>0.32500000000000001</c:v>
                </c:pt>
                <c:pt idx="470">
                  <c:v>0.32500000000000001</c:v>
                </c:pt>
                <c:pt idx="471">
                  <c:v>0.32500000000000001</c:v>
                </c:pt>
                <c:pt idx="472">
                  <c:v>0.32500000000000001</c:v>
                </c:pt>
                <c:pt idx="473">
                  <c:v>0.32500000000000001</c:v>
                </c:pt>
                <c:pt idx="474">
                  <c:v>0.32500000000000001</c:v>
                </c:pt>
                <c:pt idx="475">
                  <c:v>0.32500000000000001</c:v>
                </c:pt>
                <c:pt idx="476">
                  <c:v>0.32500000000000001</c:v>
                </c:pt>
                <c:pt idx="477">
                  <c:v>0.32500000000000001</c:v>
                </c:pt>
                <c:pt idx="478">
                  <c:v>0.32500000000000001</c:v>
                </c:pt>
                <c:pt idx="479">
                  <c:v>0.32500000000000001</c:v>
                </c:pt>
                <c:pt idx="480">
                  <c:v>0.32500000000000001</c:v>
                </c:pt>
                <c:pt idx="481">
                  <c:v>0.32500000000000001</c:v>
                </c:pt>
                <c:pt idx="482">
                  <c:v>0.32500000000000001</c:v>
                </c:pt>
                <c:pt idx="483">
                  <c:v>0.32500000000000001</c:v>
                </c:pt>
                <c:pt idx="484">
                  <c:v>0.32500000000000001</c:v>
                </c:pt>
                <c:pt idx="485">
                  <c:v>0.32500000000000001</c:v>
                </c:pt>
                <c:pt idx="486">
                  <c:v>0.32500000000000001</c:v>
                </c:pt>
                <c:pt idx="487">
                  <c:v>0.32500000000000001</c:v>
                </c:pt>
                <c:pt idx="488">
                  <c:v>0.32500000000000001</c:v>
                </c:pt>
                <c:pt idx="489">
                  <c:v>0.32500000000000001</c:v>
                </c:pt>
                <c:pt idx="490">
                  <c:v>0.32500000000000001</c:v>
                </c:pt>
                <c:pt idx="491">
                  <c:v>0.32500000000000001</c:v>
                </c:pt>
                <c:pt idx="492">
                  <c:v>0.32500000000000001</c:v>
                </c:pt>
                <c:pt idx="493">
                  <c:v>0.32500000000000001</c:v>
                </c:pt>
                <c:pt idx="494">
                  <c:v>0.32500000000000001</c:v>
                </c:pt>
                <c:pt idx="495">
                  <c:v>0.34899999999999998</c:v>
                </c:pt>
                <c:pt idx="496">
                  <c:v>0.35</c:v>
                </c:pt>
                <c:pt idx="497">
                  <c:v>0.35</c:v>
                </c:pt>
                <c:pt idx="498">
                  <c:v>0.35</c:v>
                </c:pt>
                <c:pt idx="499">
                  <c:v>0.35899999999999999</c:v>
                </c:pt>
                <c:pt idx="500">
                  <c:v>0.35899999999999999</c:v>
                </c:pt>
                <c:pt idx="501">
                  <c:v>0.35899999999999999</c:v>
                </c:pt>
                <c:pt idx="502">
                  <c:v>0.35899999999999999</c:v>
                </c:pt>
                <c:pt idx="503">
                  <c:v>0.35899999999999999</c:v>
                </c:pt>
                <c:pt idx="504">
                  <c:v>0.35899999999999999</c:v>
                </c:pt>
                <c:pt idx="505">
                  <c:v>0.35899999999999999</c:v>
                </c:pt>
                <c:pt idx="506">
                  <c:v>0.35899999999999999</c:v>
                </c:pt>
                <c:pt idx="507">
                  <c:v>0.35899999999999999</c:v>
                </c:pt>
                <c:pt idx="508">
                  <c:v>0.35899999999999999</c:v>
                </c:pt>
                <c:pt idx="509">
                  <c:v>0.35899999999999999</c:v>
                </c:pt>
                <c:pt idx="510">
                  <c:v>0.35899999999999999</c:v>
                </c:pt>
                <c:pt idx="511">
                  <c:v>0.35899999999999999</c:v>
                </c:pt>
                <c:pt idx="512">
                  <c:v>0.35899999999999999</c:v>
                </c:pt>
                <c:pt idx="513">
                  <c:v>0.35899999999999999</c:v>
                </c:pt>
                <c:pt idx="514">
                  <c:v>0.35899999999999999</c:v>
                </c:pt>
                <c:pt idx="515">
                  <c:v>0.35899999999999999</c:v>
                </c:pt>
                <c:pt idx="516">
                  <c:v>0.35899999999999999</c:v>
                </c:pt>
                <c:pt idx="517">
                  <c:v>0.35899999999999999</c:v>
                </c:pt>
                <c:pt idx="518">
                  <c:v>0.35899999999999999</c:v>
                </c:pt>
                <c:pt idx="519">
                  <c:v>0.35899999999999999</c:v>
                </c:pt>
                <c:pt idx="520">
                  <c:v>0.35899999999999999</c:v>
                </c:pt>
                <c:pt idx="521">
                  <c:v>0.35899999999999999</c:v>
                </c:pt>
                <c:pt idx="522">
                  <c:v>0.35899999999999999</c:v>
                </c:pt>
                <c:pt idx="523">
                  <c:v>0.35899999999999999</c:v>
                </c:pt>
                <c:pt idx="524">
                  <c:v>0.35899999999999999</c:v>
                </c:pt>
                <c:pt idx="525">
                  <c:v>0.35899999999999999</c:v>
                </c:pt>
                <c:pt idx="526">
                  <c:v>0.35899999999999999</c:v>
                </c:pt>
                <c:pt idx="527">
                  <c:v>0.35899999999999999</c:v>
                </c:pt>
                <c:pt idx="528">
                  <c:v>0.35899999999999999</c:v>
                </c:pt>
                <c:pt idx="529">
                  <c:v>0.35899999999999999</c:v>
                </c:pt>
                <c:pt idx="530">
                  <c:v>0.35899999999999999</c:v>
                </c:pt>
                <c:pt idx="531">
                  <c:v>0.35899999999999999</c:v>
                </c:pt>
                <c:pt idx="532">
                  <c:v>0.35899999999999999</c:v>
                </c:pt>
                <c:pt idx="533">
                  <c:v>0.35899999999999999</c:v>
                </c:pt>
                <c:pt idx="534">
                  <c:v>0.35899999999999999</c:v>
                </c:pt>
                <c:pt idx="535">
                  <c:v>0.35899999999999999</c:v>
                </c:pt>
                <c:pt idx="536">
                  <c:v>0.35899999999999999</c:v>
                </c:pt>
                <c:pt idx="537">
                  <c:v>0.35899999999999999</c:v>
                </c:pt>
                <c:pt idx="538">
                  <c:v>0.35899999999999999</c:v>
                </c:pt>
                <c:pt idx="539">
                  <c:v>0.35899999999999999</c:v>
                </c:pt>
                <c:pt idx="540">
                  <c:v>0.35899999999999999</c:v>
                </c:pt>
                <c:pt idx="541">
                  <c:v>0.35899999999999999</c:v>
                </c:pt>
                <c:pt idx="542">
                  <c:v>0.35899999999999999</c:v>
                </c:pt>
                <c:pt idx="543">
                  <c:v>0.35899999999999999</c:v>
                </c:pt>
                <c:pt idx="544">
                  <c:v>0.35899999999999999</c:v>
                </c:pt>
                <c:pt idx="545">
                  <c:v>0.35899999999999999</c:v>
                </c:pt>
                <c:pt idx="546">
                  <c:v>0.35899999999999999</c:v>
                </c:pt>
                <c:pt idx="547">
                  <c:v>0.35899999999999999</c:v>
                </c:pt>
                <c:pt idx="548">
                  <c:v>0.35899999999999999</c:v>
                </c:pt>
                <c:pt idx="549">
                  <c:v>0.35899999999999999</c:v>
                </c:pt>
                <c:pt idx="550">
                  <c:v>0.35899999999999999</c:v>
                </c:pt>
                <c:pt idx="551">
                  <c:v>0.35899999999999999</c:v>
                </c:pt>
                <c:pt idx="552">
                  <c:v>0.35899999999999999</c:v>
                </c:pt>
                <c:pt idx="553">
                  <c:v>0.35899999999999999</c:v>
                </c:pt>
                <c:pt idx="554">
                  <c:v>0.35899999999999999</c:v>
                </c:pt>
                <c:pt idx="555">
                  <c:v>0.35899999999999999</c:v>
                </c:pt>
                <c:pt idx="556">
                  <c:v>0.35899999999999999</c:v>
                </c:pt>
                <c:pt idx="557">
                  <c:v>0.35899999999999999</c:v>
                </c:pt>
                <c:pt idx="558">
                  <c:v>0.35899999999999999</c:v>
                </c:pt>
                <c:pt idx="559">
                  <c:v>0.35899999999999999</c:v>
                </c:pt>
                <c:pt idx="560">
                  <c:v>0.35899999999999999</c:v>
                </c:pt>
                <c:pt idx="561">
                  <c:v>0.35899999999999999</c:v>
                </c:pt>
                <c:pt idx="562">
                  <c:v>0.35899999999999999</c:v>
                </c:pt>
                <c:pt idx="563">
                  <c:v>0.35899999999999999</c:v>
                </c:pt>
                <c:pt idx="564">
                  <c:v>0.35899999999999999</c:v>
                </c:pt>
                <c:pt idx="565">
                  <c:v>0.35899999999999999</c:v>
                </c:pt>
                <c:pt idx="566">
                  <c:v>0.35899999999999999</c:v>
                </c:pt>
                <c:pt idx="567">
                  <c:v>0.35899999999999999</c:v>
                </c:pt>
                <c:pt idx="568">
                  <c:v>0.35899999999999999</c:v>
                </c:pt>
                <c:pt idx="569">
                  <c:v>0.35899999999999999</c:v>
                </c:pt>
                <c:pt idx="570">
                  <c:v>0.35899999999999999</c:v>
                </c:pt>
                <c:pt idx="571">
                  <c:v>0.35899999999999999</c:v>
                </c:pt>
                <c:pt idx="572">
                  <c:v>0.35899999999999999</c:v>
                </c:pt>
                <c:pt idx="573">
                  <c:v>0.35899999999999999</c:v>
                </c:pt>
                <c:pt idx="574">
                  <c:v>0.35899999999999999</c:v>
                </c:pt>
                <c:pt idx="575">
                  <c:v>0.35899999999999999</c:v>
                </c:pt>
                <c:pt idx="576">
                  <c:v>0.35899999999999999</c:v>
                </c:pt>
                <c:pt idx="577">
                  <c:v>0.35899999999999999</c:v>
                </c:pt>
                <c:pt idx="578">
                  <c:v>0.35899999999999999</c:v>
                </c:pt>
                <c:pt idx="579">
                  <c:v>0.35899999999999999</c:v>
                </c:pt>
                <c:pt idx="580">
                  <c:v>0.35899999999999999</c:v>
                </c:pt>
                <c:pt idx="581">
                  <c:v>0.35899999999999999</c:v>
                </c:pt>
                <c:pt idx="582">
                  <c:v>0.35899999999999999</c:v>
                </c:pt>
                <c:pt idx="583">
                  <c:v>0.35899999999999999</c:v>
                </c:pt>
                <c:pt idx="584">
                  <c:v>0.35899999999999999</c:v>
                </c:pt>
                <c:pt idx="585">
                  <c:v>0.35899999999999999</c:v>
                </c:pt>
                <c:pt idx="586">
                  <c:v>0.35899999999999999</c:v>
                </c:pt>
                <c:pt idx="587">
                  <c:v>0.35899999999999999</c:v>
                </c:pt>
                <c:pt idx="588">
                  <c:v>0.35899999999999999</c:v>
                </c:pt>
                <c:pt idx="589">
                  <c:v>0.35899999999999999</c:v>
                </c:pt>
                <c:pt idx="590">
                  <c:v>0.35899999999999999</c:v>
                </c:pt>
                <c:pt idx="591">
                  <c:v>0.35899999999999999</c:v>
                </c:pt>
                <c:pt idx="592">
                  <c:v>0.35899999999999999</c:v>
                </c:pt>
                <c:pt idx="593">
                  <c:v>0.35899999999999999</c:v>
                </c:pt>
                <c:pt idx="594">
                  <c:v>0.35899999999999999</c:v>
                </c:pt>
                <c:pt idx="595">
                  <c:v>0.35899999999999999</c:v>
                </c:pt>
                <c:pt idx="596">
                  <c:v>0.35899999999999999</c:v>
                </c:pt>
                <c:pt idx="597">
                  <c:v>0.35899999999999999</c:v>
                </c:pt>
                <c:pt idx="598">
                  <c:v>0.35899999999999999</c:v>
                </c:pt>
                <c:pt idx="599">
                  <c:v>0.35899999999999999</c:v>
                </c:pt>
                <c:pt idx="600">
                  <c:v>0.35899999999999999</c:v>
                </c:pt>
                <c:pt idx="601">
                  <c:v>0.35899999999999999</c:v>
                </c:pt>
                <c:pt idx="602">
                  <c:v>0.35899999999999999</c:v>
                </c:pt>
                <c:pt idx="603">
                  <c:v>0.35899999999999999</c:v>
                </c:pt>
                <c:pt idx="604">
                  <c:v>0.35899999999999999</c:v>
                </c:pt>
                <c:pt idx="605">
                  <c:v>0.35899999999999999</c:v>
                </c:pt>
                <c:pt idx="606">
                  <c:v>0.35899999999999999</c:v>
                </c:pt>
                <c:pt idx="607">
                  <c:v>0.35899999999999999</c:v>
                </c:pt>
                <c:pt idx="608">
                  <c:v>0.35899999999999999</c:v>
                </c:pt>
                <c:pt idx="609">
                  <c:v>0.35899999999999999</c:v>
                </c:pt>
                <c:pt idx="610">
                  <c:v>0.35899999999999999</c:v>
                </c:pt>
                <c:pt idx="611">
                  <c:v>0.35899999999999999</c:v>
                </c:pt>
                <c:pt idx="612">
                  <c:v>0.35899999999999999</c:v>
                </c:pt>
                <c:pt idx="613">
                  <c:v>0.35899999999999999</c:v>
                </c:pt>
                <c:pt idx="614">
                  <c:v>0.35899999999999999</c:v>
                </c:pt>
                <c:pt idx="615">
                  <c:v>0.35899999999999999</c:v>
                </c:pt>
                <c:pt idx="616">
                  <c:v>0.35899999999999999</c:v>
                </c:pt>
                <c:pt idx="617">
                  <c:v>0.35899999999999999</c:v>
                </c:pt>
                <c:pt idx="618">
                  <c:v>0.35899999999999999</c:v>
                </c:pt>
                <c:pt idx="619">
                  <c:v>0.35899999999999999</c:v>
                </c:pt>
                <c:pt idx="620">
                  <c:v>0.35899999999999999</c:v>
                </c:pt>
                <c:pt idx="621">
                  <c:v>0.35899999999999999</c:v>
                </c:pt>
                <c:pt idx="622">
                  <c:v>0.35899999999999999</c:v>
                </c:pt>
                <c:pt idx="623">
                  <c:v>0.35899999999999999</c:v>
                </c:pt>
                <c:pt idx="624">
                  <c:v>0.35899999999999999</c:v>
                </c:pt>
                <c:pt idx="625">
                  <c:v>0.35899999999999999</c:v>
                </c:pt>
                <c:pt idx="626">
                  <c:v>0.35899999999999999</c:v>
                </c:pt>
                <c:pt idx="627">
                  <c:v>0.35899999999999999</c:v>
                </c:pt>
                <c:pt idx="628">
                  <c:v>0.35899999999999999</c:v>
                </c:pt>
                <c:pt idx="629">
                  <c:v>0.35899999999999999</c:v>
                </c:pt>
                <c:pt idx="630">
                  <c:v>0.35899999999999999</c:v>
                </c:pt>
                <c:pt idx="631">
                  <c:v>0.35899999999999999</c:v>
                </c:pt>
                <c:pt idx="632">
                  <c:v>0.35899999999999999</c:v>
                </c:pt>
                <c:pt idx="633">
                  <c:v>0.35899999999999999</c:v>
                </c:pt>
                <c:pt idx="634">
                  <c:v>0.35899999999999999</c:v>
                </c:pt>
                <c:pt idx="635">
                  <c:v>0.35899999999999999</c:v>
                </c:pt>
                <c:pt idx="636">
                  <c:v>0.35899999999999999</c:v>
                </c:pt>
                <c:pt idx="637">
                  <c:v>0.35899999999999999</c:v>
                </c:pt>
                <c:pt idx="638">
                  <c:v>0.35899999999999999</c:v>
                </c:pt>
                <c:pt idx="639">
                  <c:v>0.35899999999999999</c:v>
                </c:pt>
                <c:pt idx="640">
                  <c:v>0.35899999999999999</c:v>
                </c:pt>
                <c:pt idx="641">
                  <c:v>0.35899999999999999</c:v>
                </c:pt>
                <c:pt idx="642">
                  <c:v>0.35899999999999999</c:v>
                </c:pt>
                <c:pt idx="643">
                  <c:v>0.35899999999999999</c:v>
                </c:pt>
                <c:pt idx="644">
                  <c:v>0.35899999999999999</c:v>
                </c:pt>
                <c:pt idx="645">
                  <c:v>0.35899999999999999</c:v>
                </c:pt>
                <c:pt idx="646">
                  <c:v>0.35899999999999999</c:v>
                </c:pt>
                <c:pt idx="647">
                  <c:v>0.35899999999999999</c:v>
                </c:pt>
                <c:pt idx="648">
                  <c:v>0.35899999999999999</c:v>
                </c:pt>
                <c:pt idx="649">
                  <c:v>0.35899999999999999</c:v>
                </c:pt>
                <c:pt idx="650">
                  <c:v>0.35899999999999999</c:v>
                </c:pt>
                <c:pt idx="651">
                  <c:v>0.35899999999999999</c:v>
                </c:pt>
                <c:pt idx="652">
                  <c:v>0.35899999999999999</c:v>
                </c:pt>
                <c:pt idx="653">
                  <c:v>0.35899999999999999</c:v>
                </c:pt>
                <c:pt idx="654">
                  <c:v>0.35899999999999999</c:v>
                </c:pt>
                <c:pt idx="655">
                  <c:v>0.35899999999999999</c:v>
                </c:pt>
                <c:pt idx="656">
                  <c:v>0.35899999999999999</c:v>
                </c:pt>
                <c:pt idx="657">
                  <c:v>0.35899999999999999</c:v>
                </c:pt>
                <c:pt idx="658">
                  <c:v>0.35899999999999999</c:v>
                </c:pt>
                <c:pt idx="659">
                  <c:v>0.35899999999999999</c:v>
                </c:pt>
                <c:pt idx="660">
                  <c:v>0.35899999999999999</c:v>
                </c:pt>
                <c:pt idx="661">
                  <c:v>0.35899999999999999</c:v>
                </c:pt>
                <c:pt idx="662">
                  <c:v>0.35899999999999999</c:v>
                </c:pt>
                <c:pt idx="663">
                  <c:v>0.35899999999999999</c:v>
                </c:pt>
                <c:pt idx="664">
                  <c:v>0.35899999999999999</c:v>
                </c:pt>
                <c:pt idx="665">
                  <c:v>0.35899999999999999</c:v>
                </c:pt>
                <c:pt idx="666">
                  <c:v>0.35899999999999999</c:v>
                </c:pt>
                <c:pt idx="667">
                  <c:v>0.35899999999999999</c:v>
                </c:pt>
                <c:pt idx="668">
                  <c:v>0.35899999999999999</c:v>
                </c:pt>
                <c:pt idx="669">
                  <c:v>0.35899999999999999</c:v>
                </c:pt>
                <c:pt idx="670">
                  <c:v>0.35899999999999999</c:v>
                </c:pt>
                <c:pt idx="671">
                  <c:v>0.35899999999999999</c:v>
                </c:pt>
                <c:pt idx="672">
                  <c:v>0.35899999999999999</c:v>
                </c:pt>
                <c:pt idx="673">
                  <c:v>0.35899999999999999</c:v>
                </c:pt>
                <c:pt idx="674">
                  <c:v>0.35899999999999999</c:v>
                </c:pt>
                <c:pt idx="675">
                  <c:v>0.35899999999999999</c:v>
                </c:pt>
                <c:pt idx="676">
                  <c:v>0.35899999999999999</c:v>
                </c:pt>
                <c:pt idx="677">
                  <c:v>0.35899999999999999</c:v>
                </c:pt>
                <c:pt idx="678">
                  <c:v>0.35899999999999999</c:v>
                </c:pt>
                <c:pt idx="679">
                  <c:v>0.35899999999999999</c:v>
                </c:pt>
                <c:pt idx="680">
                  <c:v>0.35899999999999999</c:v>
                </c:pt>
                <c:pt idx="681">
                  <c:v>0.35899999999999999</c:v>
                </c:pt>
                <c:pt idx="682">
                  <c:v>0.35899999999999999</c:v>
                </c:pt>
                <c:pt idx="683">
                  <c:v>0.35899999999999999</c:v>
                </c:pt>
                <c:pt idx="684">
                  <c:v>0.35899999999999999</c:v>
                </c:pt>
                <c:pt idx="685">
                  <c:v>0.35899999999999999</c:v>
                </c:pt>
                <c:pt idx="686">
                  <c:v>0.35899999999999999</c:v>
                </c:pt>
                <c:pt idx="687">
                  <c:v>0.35899999999999999</c:v>
                </c:pt>
                <c:pt idx="688">
                  <c:v>0.35899999999999999</c:v>
                </c:pt>
                <c:pt idx="689">
                  <c:v>0.35899999999999999</c:v>
                </c:pt>
                <c:pt idx="690">
                  <c:v>0.35899999999999999</c:v>
                </c:pt>
                <c:pt idx="691">
                  <c:v>0.35899999999999999</c:v>
                </c:pt>
                <c:pt idx="692">
                  <c:v>0.35899999999999999</c:v>
                </c:pt>
                <c:pt idx="693">
                  <c:v>0.35899999999999999</c:v>
                </c:pt>
                <c:pt idx="694">
                  <c:v>0.35899999999999999</c:v>
                </c:pt>
                <c:pt idx="695">
                  <c:v>0.35899999999999999</c:v>
                </c:pt>
                <c:pt idx="696">
                  <c:v>0.35899999999999999</c:v>
                </c:pt>
                <c:pt idx="697">
                  <c:v>0.35899999999999999</c:v>
                </c:pt>
                <c:pt idx="698">
                  <c:v>0.35899999999999999</c:v>
                </c:pt>
                <c:pt idx="699">
                  <c:v>0.35899999999999999</c:v>
                </c:pt>
                <c:pt idx="700">
                  <c:v>0.35899999999999999</c:v>
                </c:pt>
                <c:pt idx="701">
                  <c:v>0.35899999999999999</c:v>
                </c:pt>
                <c:pt idx="702">
                  <c:v>0.35899999999999999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51360"/>
        <c:axId val="197134976"/>
      </c:scatterChart>
      <c:valAx>
        <c:axId val="192873600"/>
        <c:scaling>
          <c:orientation val="minMax"/>
          <c:max val="30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Taxable Wages</a:t>
                </a:r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97132672"/>
        <c:crosses val="autoZero"/>
        <c:crossBetween val="midCat"/>
      </c:valAx>
      <c:valAx>
        <c:axId val="19713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Federal</a:t>
                </a:r>
                <a:r>
                  <a:rPr lang="en-US" baseline="0"/>
                  <a:t> Taxes Owed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92873600"/>
        <c:crosses val="autoZero"/>
        <c:crossBetween val="midCat"/>
      </c:valAx>
      <c:valAx>
        <c:axId val="197134976"/>
        <c:scaling>
          <c:orientation val="minMax"/>
          <c:max val="0.4"/>
          <c:min val="-0.7000000000000000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Effective Marginal</a:t>
                </a:r>
                <a:r>
                  <a:rPr lang="en-US" baseline="0"/>
                  <a:t> Tax Rate</a:t>
                </a:r>
                <a:endParaRPr lang="en-US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97151360"/>
        <c:crosses val="max"/>
        <c:crossBetween val="midCat"/>
        <c:majorUnit val="0.1"/>
      </c:valAx>
      <c:valAx>
        <c:axId val="197151360"/>
        <c:scaling>
          <c:orientation val="minMax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19713497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409414</xdr:colOff>
      <xdr:row>10</xdr:row>
      <xdr:rowOff>118791</xdr:rowOff>
    </xdr:from>
    <xdr:to>
      <xdr:col>42</xdr:col>
      <xdr:colOff>575916</xdr:colOff>
      <xdr:row>45</xdr:row>
      <xdr:rowOff>124145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398318</xdr:colOff>
      <xdr:row>46</xdr:row>
      <xdr:rowOff>75543</xdr:rowOff>
    </xdr:from>
    <xdr:to>
      <xdr:col>43</xdr:col>
      <xdr:colOff>21277</xdr:colOff>
      <xdr:row>85</xdr:row>
      <xdr:rowOff>47151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7:AB741" totalsRowShown="0" headerRowDxfId="28" dataDxfId="27">
  <autoFilter ref="B37:AB741"/>
  <tableColumns count="27">
    <tableColumn id="1" name="taxable wages" dataDxfId="26"/>
    <tableColumn id="13" name="earned income for EITC" dataDxfId="25">
      <calculatedColumnFormula>Table1[[#This Row],[taxable wages]]</calculatedColumnFormula>
    </tableColumn>
    <tableColumn id="14" name="Agi For Eitc Calc" dataDxfId="24">
      <calculatedColumnFormula>Table1[[#This Row],[taxable wages]]+#REF!+#REF!+#REF!+#REF!</calculatedColumnFormula>
    </tableColumn>
    <tableColumn id="15" name="effective income for Etic" dataDxfId="23">
      <calculatedColumnFormula>MAX(Table1[[#This Row],[earned income for EITC]:[Agi For Eitc Calc]])</calculatedColumnFormula>
    </tableColumn>
    <tableColumn id="20" name="Agi" dataDxfId="22">
      <calculatedColumnFormula>Table1[[#This Row],[taxable wages]]+#REF!+#REF!+#REF!+#REF!-(#REF!+#REF!)</calculatedColumnFormula>
    </tableColumn>
    <tableColumn id="23" name="Effective Deductions" dataDxfId="21">
      <calculatedColumnFormula>MAX(standard_deduction,#REF!+#REF!+#REF!+#REF!+#REF!)</calculatedColumnFormula>
    </tableColumn>
    <tableColumn id="24" name="Exemptions" dataDxfId="20">
      <calculatedColumnFormula>num_people_in_family*personal_exemption</calculatedColumnFormula>
    </tableColumn>
    <tableColumn id="25" name="Taxable Income" dataDxfId="19">
      <calculatedColumnFormula>MAX(0,Table1[[#This Row],[Agi]]-Table1[[#This Row],[Exemptions]]-Table1[[#This Row],[Effective Deductions]])</calculatedColumnFormula>
    </tableColumn>
    <tableColumn id="39" name="Regular Taxes Owed" dataDxfId="18">
      <calculatedColumnFormula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calculatedColumnFormula>
    </tableColumn>
    <tableColumn id="40" name="Child Tax Credit" dataDxfId="17">
      <calculatedColumnFormula>child_tax_credit*num_kids_16_younger</calculatedColumnFormula>
    </tableColumn>
    <tableColumn id="38" name="Child Tax Credit Phase Out" dataDxfId="16">
      <calculatedColumnFormula>IF(Table1[[#This Row],[Agi]]&gt;ctc_phase_out_begins,ctc_phase_out_rate*(Table1[[#This Row],[Agi]]-ctc_phase_out_begins),0)</calculatedColumnFormula>
    </tableColumn>
    <tableColumn id="37" name="Effective Child Tax Credit" dataDxfId="15">
      <calculatedColumnFormula>MAX(Table1[[#This Row],[Child Tax Credit]]-Table1[[#This Row],[Child Tax Credit Phase Out]],0)</calculatedColumnFormula>
    </tableColumn>
    <tableColumn id="10" name="Regular Taxes Owed - Effective Child Tax Credit" dataDxfId="14">
      <calculatedColumnFormula>MAX(Table1[[#This Row],[Regular Taxes Owed]]-Table1[[#This Row],[Effective Child Tax Credit]],0)</calculatedColumnFormula>
    </tableColumn>
    <tableColumn id="31" name="Additional Child Tax Credit " dataDxfId="13">
      <calculatedColumnFormula>MAX(MIN((Table1[[#This Row],[taxable wages]]-3000)*0.15,1000*num_kids_16_younger),0)</calculatedColumnFormula>
    </tableColumn>
    <tableColumn id="32" name="Effective Additional Child Tax Credit" dataDxfId="12" dataCellStyle="Percent">
      <calculatedColumnFormula>IF(Table1[[#This Row],[Effective Child Tax Credit]]&gt;Table1[[#This Row],[Regular Taxes Owed]],Table1[[#This Row],[Additional Child Tax Credit ]]-Table1[[#This Row],[Regular Taxes Owed]],0)</calculatedColumnFormula>
    </tableColumn>
    <tableColumn id="26" name="Eitc" dataDxfId="11" dataCellStyle="Percent">
      <calculatedColumnFormula>IF((#REF!+#REF!+#REF!+#REF!)&gt;EITC_dies_with_investment_income,0,IF(AND(Table1[[#This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calculatedColumnFormula>
    </tableColumn>
    <tableColumn id="36" name="Total Credits" dataDxfId="10">
      <calculatedColumnFormula>Table1[[#This Row],[Effective Additional Child Tax Credit]]+Table1[[#This Row],[Eitc]]</calculatedColumnFormula>
    </tableColumn>
    <tableColumn id="41" name="Federal Taxes Owed (No AMT)" dataDxfId="9" dataCellStyle="Percent">
      <calculatedColumnFormula>Table1[[#This Row],[Regular Taxes Owed - Effective Child Tax Credit]]-Table1[[#This Row],[Total Credits]]</calculatedColumnFormula>
    </tableColumn>
    <tableColumn id="16" name="AGI for AMT" dataDxfId="8" dataCellStyle="Percent">
      <calculatedColumnFormula>Table1[[#This Row],[taxable wages]]+#REF!+#REF!+#REF!+#REF!-(#REF!+#REF!)</calculatedColumnFormula>
    </tableColumn>
    <tableColumn id="42" name="Effective AMT Exemption" dataDxfId="7" dataCellStyle="Percent">
      <calculatedColumnFormula>MAX(amt_exemption-amt_exemption_phase_out_rate*MAX(Table1[[#This Row],[taxable wages]]-amt_phase_out_begins,0),0)</calculatedColumnFormula>
    </tableColumn>
    <tableColumn id="43" name="AMT Taxes" dataDxfId="6" dataCellStyle="Percent">
      <calculatedColumnFormula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calculatedColumnFormula>
    </tableColumn>
    <tableColumn id="44" name="Extra Taxes From Amt" dataDxfId="5">
      <calculatedColumnFormula>IF(AND(Table1[[#This Row],[AMT Taxes]]&gt;Table1[[#This Row],[Regular Taxes Owed]],Table1[[#This Row],[AMT Taxes]]&gt;0),Table1[[#This Row],[AMT Taxes]]-Table1[[#This Row],[Regular Taxes Owed]],0)</calculatedColumnFormula>
    </tableColumn>
    <tableColumn id="45" name="Federal Taxes Owed (Includes AMT)" dataDxfId="4" dataCellStyle="Percent">
      <calculatedColumnFormula>Table1[[#This Row],[Extra Taxes From Amt]]+Table1[[#This Row],[Federal Taxes Owed (No AMT)]]</calculatedColumnFormula>
    </tableColumn>
    <tableColumn id="46" name="Obamacare surcharge premium" dataDxfId="3" dataCellStyle="Percent">
      <calculatedColumnFormula>IF(Table1[[#This Row],[taxable wages]]&gt;obamacare_surcharge_amount,obamacare_surcharge_percent*(Table1[[#This Row],[taxable wages]]-obamacare_surcharge_amount),0)</calculatedColumnFormula>
    </tableColumn>
    <tableColumn id="47" name="Federal Taxes Owed2" dataDxfId="2" dataCellStyle="Percent">
      <calculatedColumnFormula>Table1[[#This Row],[Federal Taxes Owed (Includes AMT)]]+Table1[[#This Row],[Obamacare surcharge premium]]</calculatedColumnFormula>
    </tableColumn>
    <tableColumn id="49" name="net income" dataDxfId="1" dataCellStyle="Percent">
      <calculatedColumnFormula>Table1[[#This Row],[taxable wages]]-Table1[[#This Row],[Federal Taxes Owed2]]</calculatedColumnFormula>
    </tableColumn>
    <tableColumn id="50" name="Effective Marginal Tax Rate [Federal Only]" dataDxfId="0" dataCellStyle="Percent">
      <calculatedColumnFormula>(Z38-Z37)/(B38-B37)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vingtoinvest.com/alternative-minimum-tax-amt-and-exemption-amount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xpolicycenter.org/taxfacts/displayafact.cfm?Docid=36" TargetMode="External"/><Relationship Id="rId1" Type="http://schemas.openxmlformats.org/officeDocument/2006/relationships/hyperlink" Target="http://taxes.about.com/od/deductionscredits/qt/earnedincome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ankrate.com/finance/taxes/tax-bracket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42"/>
  <sheetViews>
    <sheetView tabSelected="1" zoomScale="80" zoomScaleNormal="80" workbookViewId="0"/>
  </sheetViews>
  <sheetFormatPr defaultColWidth="9.109375" defaultRowHeight="14.4" outlineLevelCol="1" x14ac:dyDescent="0.3"/>
  <cols>
    <col min="1" max="1" width="50.109375" style="34" bestFit="1" customWidth="1"/>
    <col min="2" max="2" width="13.109375" style="13" customWidth="1"/>
    <col min="3" max="6" width="10.5546875" style="4" hidden="1" customWidth="1" outlineLevel="1"/>
    <col min="7" max="8" width="12.88671875" style="4" hidden="1" customWidth="1" outlineLevel="1"/>
    <col min="9" max="11" width="10.5546875" style="4" hidden="1" customWidth="1" outlineLevel="1"/>
    <col min="12" max="12" width="11.6640625" style="4" hidden="1" customWidth="1" outlineLevel="1"/>
    <col min="13" max="25" width="10.5546875" style="4" hidden="1" customWidth="1" outlineLevel="1"/>
    <col min="26" max="26" width="10.5546875" style="4" customWidth="1" collapsed="1"/>
    <col min="27" max="29" width="10.5546875" style="4" customWidth="1"/>
    <col min="30" max="30" width="12" style="14" customWidth="1"/>
    <col min="31" max="31" width="10.5546875" style="4" customWidth="1"/>
    <col min="32" max="33" width="9.109375" style="13"/>
    <col min="34" max="39" width="15.88671875" style="13" customWidth="1"/>
    <col min="40" max="16384" width="9.109375" style="13"/>
  </cols>
  <sheetData>
    <row r="2" spans="1:43" ht="28.8" x14ac:dyDescent="0.55000000000000004">
      <c r="B2" s="69" t="s">
        <v>104</v>
      </c>
      <c r="C2" s="13"/>
      <c r="D2" s="13"/>
      <c r="E2" s="13"/>
      <c r="AD2" s="4"/>
      <c r="AF2" s="4"/>
      <c r="AG2" s="4"/>
      <c r="AH2" s="4"/>
      <c r="AI2" s="4"/>
      <c r="AJ2" s="4"/>
      <c r="AK2" s="4"/>
      <c r="AL2" s="4"/>
      <c r="AM2" s="4"/>
      <c r="AN2" s="4"/>
      <c r="AO2" s="4"/>
      <c r="AQ2" s="4"/>
    </row>
    <row r="3" spans="1:43" ht="28.8" x14ac:dyDescent="0.55000000000000004">
      <c r="B3" s="70" t="s">
        <v>122</v>
      </c>
      <c r="C3" s="13"/>
      <c r="D3" s="13"/>
      <c r="E3" s="13"/>
      <c r="AD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4"/>
    </row>
    <row r="4" spans="1:43" ht="28.8" x14ac:dyDescent="0.55000000000000004">
      <c r="B4" s="71" t="s">
        <v>121</v>
      </c>
      <c r="C4" s="13"/>
      <c r="D4" s="13"/>
      <c r="E4" s="13"/>
      <c r="AD4" s="4"/>
      <c r="AF4" s="4"/>
      <c r="AG4" s="4"/>
      <c r="AH4" s="4"/>
      <c r="AI4" s="4"/>
      <c r="AJ4" s="4"/>
      <c r="AK4" s="4"/>
      <c r="AL4" s="4"/>
      <c r="AM4" s="4"/>
      <c r="AN4" s="4"/>
      <c r="AO4" s="4"/>
      <c r="AQ4" s="4"/>
    </row>
    <row r="5" spans="1:43" x14ac:dyDescent="0.3">
      <c r="C5" s="13"/>
      <c r="D5" s="13"/>
      <c r="E5" s="13"/>
      <c r="AD5" s="4"/>
      <c r="AF5" s="4"/>
      <c r="AG5" s="4"/>
      <c r="AH5" s="4"/>
      <c r="AI5" s="4"/>
      <c r="AJ5" s="4"/>
      <c r="AK5" s="4"/>
      <c r="AL5" s="4"/>
      <c r="AM5" s="4"/>
      <c r="AN5" s="4"/>
      <c r="AO5" s="4"/>
      <c r="AQ5" s="4"/>
    </row>
    <row r="6" spans="1:43" ht="28.8" x14ac:dyDescent="0.55000000000000004">
      <c r="B6" s="69" t="s">
        <v>123</v>
      </c>
      <c r="C6" s="13"/>
      <c r="D6" s="13"/>
      <c r="E6" s="13"/>
      <c r="AD6" s="4"/>
      <c r="AF6" s="4"/>
      <c r="AG6" s="4"/>
      <c r="AH6" s="4"/>
      <c r="AI6" s="4"/>
      <c r="AJ6" s="4"/>
      <c r="AK6" s="4"/>
      <c r="AL6" s="4"/>
      <c r="AM6" s="4"/>
      <c r="AN6" s="4"/>
      <c r="AO6" s="4"/>
      <c r="AQ6" s="4"/>
    </row>
    <row r="7" spans="1:43" ht="15" thickBot="1" x14ac:dyDescent="0.35">
      <c r="C7" s="13"/>
      <c r="D7" s="13"/>
      <c r="E7" s="13"/>
      <c r="AD7" s="4"/>
      <c r="AF7" s="4"/>
      <c r="AG7" s="4"/>
      <c r="AH7" s="4"/>
      <c r="AI7" s="4"/>
      <c r="AJ7" s="4"/>
      <c r="AK7" s="4"/>
      <c r="AL7" s="4"/>
      <c r="AM7" s="4"/>
      <c r="AN7" s="4"/>
      <c r="AO7" s="4"/>
      <c r="AQ7" s="4"/>
    </row>
    <row r="8" spans="1:43" x14ac:dyDescent="0.3">
      <c r="A8" s="62" t="s">
        <v>10</v>
      </c>
      <c r="B8" s="64" t="s">
        <v>11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3"/>
      <c r="AD8" s="13"/>
      <c r="AE8" s="13"/>
    </row>
    <row r="9" spans="1:43" x14ac:dyDescent="0.3">
      <c r="A9" s="62"/>
      <c r="B9" s="65" t="s">
        <v>59</v>
      </c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13"/>
      <c r="AD9" s="13"/>
      <c r="AE9" s="13"/>
    </row>
    <row r="10" spans="1:43" ht="15" thickBot="1" x14ac:dyDescent="0.35">
      <c r="A10" s="63"/>
      <c r="B10" s="66" t="s">
        <v>17</v>
      </c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  <c r="AC10" s="13"/>
      <c r="AD10" s="13"/>
      <c r="AE10" s="13"/>
    </row>
    <row r="11" spans="1:43" x14ac:dyDescent="0.3">
      <c r="C11" s="13"/>
      <c r="D11" s="13"/>
      <c r="E11" s="13"/>
      <c r="AC11" s="14"/>
      <c r="AD11" s="13"/>
      <c r="AE11" s="13"/>
    </row>
    <row r="12" spans="1:43" x14ac:dyDescent="0.3">
      <c r="B12" s="35" t="s">
        <v>50</v>
      </c>
      <c r="C12" s="13"/>
      <c r="D12" s="36" t="s">
        <v>43</v>
      </c>
      <c r="E12" s="13"/>
      <c r="F12" s="24"/>
      <c r="G12" s="36" t="s">
        <v>33</v>
      </c>
      <c r="J12" s="36" t="s">
        <v>19</v>
      </c>
      <c r="Q12" s="36" t="s">
        <v>18</v>
      </c>
      <c r="AG12" s="4"/>
      <c r="AH12" s="4"/>
      <c r="AI12" s="4"/>
      <c r="AJ12" s="4"/>
      <c r="AK12" s="4"/>
    </row>
    <row r="13" spans="1:43" x14ac:dyDescent="0.3">
      <c r="A13" s="60" t="s">
        <v>86</v>
      </c>
      <c r="B13" s="67" t="s">
        <v>82</v>
      </c>
      <c r="C13" s="35"/>
      <c r="D13" s="25">
        <v>6300</v>
      </c>
      <c r="E13" s="4" t="s">
        <v>89</v>
      </c>
      <c r="G13" s="56" t="s">
        <v>108</v>
      </c>
      <c r="J13" s="48" t="s">
        <v>6</v>
      </c>
      <c r="Q13" s="48" t="s">
        <v>4</v>
      </c>
      <c r="R13" s="13"/>
      <c r="S13" s="13"/>
      <c r="T13" s="13"/>
      <c r="U13" s="13"/>
      <c r="V13" s="13"/>
      <c r="W13" s="3"/>
      <c r="X13" s="3"/>
      <c r="AG13" s="4"/>
      <c r="AH13" s="4"/>
      <c r="AI13" s="4"/>
      <c r="AJ13" s="4"/>
      <c r="AK13" s="4"/>
    </row>
    <row r="14" spans="1:43" x14ac:dyDescent="0.3">
      <c r="A14" s="34" t="s">
        <v>2</v>
      </c>
      <c r="B14" s="67">
        <v>5</v>
      </c>
      <c r="C14" s="13"/>
      <c r="D14" s="25">
        <v>12600</v>
      </c>
      <c r="E14" s="4" t="s">
        <v>90</v>
      </c>
      <c r="G14" s="33">
        <v>0.26</v>
      </c>
      <c r="H14" s="13" t="s">
        <v>106</v>
      </c>
      <c r="J14" s="4" t="s">
        <v>46</v>
      </c>
      <c r="K14" s="4" t="s">
        <v>83</v>
      </c>
      <c r="L14" s="4" t="s">
        <v>84</v>
      </c>
      <c r="P14" s="13"/>
      <c r="Q14" s="2"/>
      <c r="R14" s="12"/>
      <c r="S14" s="12"/>
      <c r="T14" s="12"/>
      <c r="U14" s="12"/>
      <c r="V14" s="12"/>
      <c r="W14" s="12"/>
      <c r="X14" s="26"/>
      <c r="AG14" s="4"/>
      <c r="AH14" s="4"/>
      <c r="AI14" s="4"/>
      <c r="AJ14" s="4"/>
      <c r="AK14" s="4"/>
    </row>
    <row r="15" spans="1:43" x14ac:dyDescent="0.3">
      <c r="A15" s="34" t="s">
        <v>51</v>
      </c>
      <c r="B15" s="67">
        <f>num_kids_at_home</f>
        <v>5</v>
      </c>
      <c r="C15" s="13"/>
      <c r="D15" s="43">
        <f>IF(LOWER($B$13)="m",D14,D13)</f>
        <v>12600</v>
      </c>
      <c r="E15" s="13" t="s">
        <v>91</v>
      </c>
      <c r="F15" s="13"/>
      <c r="G15" s="33">
        <v>0.28000000000000003</v>
      </c>
      <c r="H15" s="4" t="s">
        <v>107</v>
      </c>
      <c r="J15" s="28">
        <v>0.1</v>
      </c>
      <c r="K15" s="25">
        <v>9275</v>
      </c>
      <c r="L15" s="25">
        <v>18550</v>
      </c>
      <c r="P15" s="2"/>
      <c r="Q15" s="52">
        <v>5550</v>
      </c>
      <c r="R15" s="4" t="s">
        <v>73</v>
      </c>
      <c r="AG15" s="4"/>
      <c r="AH15" s="4"/>
      <c r="AI15" s="4"/>
      <c r="AJ15" s="4"/>
      <c r="AK15" s="4"/>
    </row>
    <row r="16" spans="1:43" x14ac:dyDescent="0.3">
      <c r="A16" s="34" t="s">
        <v>3</v>
      </c>
      <c r="B16" s="67">
        <f>IF(LOWER(B13)="m",num_kids_at_home+2,num_kids_at_home+1)</f>
        <v>7</v>
      </c>
      <c r="C16" s="13"/>
      <c r="D16" s="25">
        <v>110000</v>
      </c>
      <c r="E16" s="13" t="s">
        <v>1</v>
      </c>
      <c r="F16" s="13"/>
      <c r="J16" s="28">
        <v>0.15</v>
      </c>
      <c r="K16" s="25">
        <v>37650</v>
      </c>
      <c r="L16" s="25">
        <v>75300</v>
      </c>
      <c r="P16" s="26"/>
      <c r="Q16" s="4" t="s">
        <v>74</v>
      </c>
      <c r="R16" s="4" t="s">
        <v>75</v>
      </c>
      <c r="S16" s="4" t="s">
        <v>8</v>
      </c>
      <c r="T16" s="4" t="s">
        <v>9</v>
      </c>
      <c r="U16" s="4" t="s">
        <v>76</v>
      </c>
      <c r="V16" s="4" t="s">
        <v>77</v>
      </c>
      <c r="W16" s="4" t="s">
        <v>78</v>
      </c>
      <c r="X16" s="4" t="s">
        <v>79</v>
      </c>
      <c r="Y16" s="4" t="s">
        <v>120</v>
      </c>
      <c r="Z16" s="4" t="s">
        <v>111</v>
      </c>
      <c r="AG16" s="4"/>
      <c r="AH16" s="4"/>
      <c r="AI16" s="4"/>
      <c r="AJ16" s="4"/>
      <c r="AK16" s="4"/>
    </row>
    <row r="17" spans="1:37" x14ac:dyDescent="0.3">
      <c r="C17" s="13"/>
      <c r="D17" s="25">
        <v>1000</v>
      </c>
      <c r="E17" s="13" t="s">
        <v>0</v>
      </c>
      <c r="F17" s="13"/>
      <c r="G17" s="25">
        <v>53900</v>
      </c>
      <c r="H17" s="13" t="s">
        <v>100</v>
      </c>
      <c r="J17" s="28">
        <v>0.25</v>
      </c>
      <c r="K17" s="25">
        <v>91150</v>
      </c>
      <c r="L17" s="25">
        <v>151900</v>
      </c>
      <c r="P17" s="26"/>
      <c r="Q17" s="27">
        <v>0</v>
      </c>
      <c r="R17" s="5">
        <v>7.65</v>
      </c>
      <c r="S17" s="6">
        <v>6610</v>
      </c>
      <c r="T17" s="6">
        <v>506</v>
      </c>
      <c r="U17" s="7">
        <v>7.65</v>
      </c>
      <c r="V17" s="53">
        <v>8270</v>
      </c>
      <c r="W17" s="53">
        <v>14880</v>
      </c>
      <c r="X17" s="10">
        <f t="shared" ref="X17:Y20" si="0">IF(LOWER($B$13)="m",V17+$Q$15,V17)</f>
        <v>13820</v>
      </c>
      <c r="Y17" s="10">
        <f t="shared" si="0"/>
        <v>20430</v>
      </c>
      <c r="Z17" s="29"/>
      <c r="AB17" s="4" t="s">
        <v>111</v>
      </c>
      <c r="AG17" s="4"/>
      <c r="AH17" s="4"/>
      <c r="AI17" s="4"/>
      <c r="AJ17" s="4"/>
      <c r="AK17" s="4"/>
    </row>
    <row r="18" spans="1:37" x14ac:dyDescent="0.3">
      <c r="B18" s="35" t="s">
        <v>37</v>
      </c>
      <c r="C18" s="13"/>
      <c r="D18" s="25">
        <v>4050</v>
      </c>
      <c r="E18" s="13" t="s">
        <v>14</v>
      </c>
      <c r="F18" s="13"/>
      <c r="G18" s="25">
        <v>83800</v>
      </c>
      <c r="H18" s="13" t="s">
        <v>101</v>
      </c>
      <c r="J18" s="28">
        <v>0.28000000000000003</v>
      </c>
      <c r="K18" s="25">
        <v>190150</v>
      </c>
      <c r="L18" s="25">
        <v>231450</v>
      </c>
      <c r="P18" s="26"/>
      <c r="Q18" s="27">
        <v>1</v>
      </c>
      <c r="R18" s="8">
        <v>34</v>
      </c>
      <c r="S18" s="6">
        <v>9920</v>
      </c>
      <c r="T18" s="6">
        <v>3373</v>
      </c>
      <c r="U18" s="7">
        <v>15.979754157628344</v>
      </c>
      <c r="V18" s="53">
        <v>18190</v>
      </c>
      <c r="W18" s="53">
        <v>39296</v>
      </c>
      <c r="X18" s="10">
        <f t="shared" si="0"/>
        <v>23740</v>
      </c>
      <c r="Y18" s="10">
        <f t="shared" si="0"/>
        <v>44846</v>
      </c>
      <c r="Z18" s="29"/>
      <c r="AB18" s="4" t="s">
        <v>111</v>
      </c>
      <c r="AG18" s="4"/>
      <c r="AH18" s="4"/>
      <c r="AI18" s="4"/>
      <c r="AJ18" s="4"/>
      <c r="AK18" s="4"/>
    </row>
    <row r="19" spans="1:37" x14ac:dyDescent="0.3">
      <c r="A19" s="34" t="s">
        <v>62</v>
      </c>
      <c r="B19" s="68">
        <v>0</v>
      </c>
      <c r="C19" s="13"/>
      <c r="D19" s="25">
        <v>2500</v>
      </c>
      <c r="E19" s="13" t="s">
        <v>7</v>
      </c>
      <c r="F19" s="13"/>
      <c r="G19" s="43">
        <f>IF(LOWER($B$13)="m",G18,G17)</f>
        <v>83800</v>
      </c>
      <c r="H19" s="13" t="s">
        <v>102</v>
      </c>
      <c r="J19" s="28">
        <v>0.33</v>
      </c>
      <c r="K19" s="25">
        <v>413350</v>
      </c>
      <c r="L19" s="25">
        <v>413350</v>
      </c>
      <c r="P19" s="26"/>
      <c r="Q19" s="27">
        <v>2</v>
      </c>
      <c r="R19" s="8">
        <v>40</v>
      </c>
      <c r="S19" s="6">
        <v>13931</v>
      </c>
      <c r="T19" s="6">
        <v>5572</v>
      </c>
      <c r="U19" s="7">
        <v>21.059569910191975</v>
      </c>
      <c r="V19" s="53">
        <v>18190</v>
      </c>
      <c r="W19" s="53">
        <v>44648</v>
      </c>
      <c r="X19" s="10">
        <f t="shared" si="0"/>
        <v>23740</v>
      </c>
      <c r="Y19" s="10">
        <f t="shared" si="0"/>
        <v>50198</v>
      </c>
      <c r="Z19" s="29"/>
      <c r="AB19" s="4" t="s">
        <v>111</v>
      </c>
      <c r="AG19" s="4"/>
      <c r="AH19" s="4"/>
      <c r="AI19" s="4"/>
      <c r="AJ19" s="4"/>
      <c r="AK19" s="4"/>
    </row>
    <row r="20" spans="1:37" x14ac:dyDescent="0.3">
      <c r="A20" s="34" t="s">
        <v>63</v>
      </c>
      <c r="B20" s="68">
        <v>0</v>
      </c>
      <c r="C20" s="13"/>
      <c r="D20" s="25">
        <v>3400</v>
      </c>
      <c r="E20" s="13" t="s">
        <v>12</v>
      </c>
      <c r="F20" s="49" t="s">
        <v>5</v>
      </c>
      <c r="G20" s="25">
        <v>119700</v>
      </c>
      <c r="H20" s="13" t="s">
        <v>96</v>
      </c>
      <c r="J20" s="28">
        <v>0.35</v>
      </c>
      <c r="K20" s="25">
        <v>415050</v>
      </c>
      <c r="L20" s="25">
        <v>466950</v>
      </c>
      <c r="P20" s="13"/>
      <c r="Q20" s="27">
        <v>3</v>
      </c>
      <c r="R20" s="8">
        <v>45</v>
      </c>
      <c r="S20" s="6">
        <v>13930</v>
      </c>
      <c r="T20" s="6">
        <v>6269</v>
      </c>
      <c r="U20" s="7">
        <v>21.059762706899079</v>
      </c>
      <c r="V20" s="53">
        <v>18190</v>
      </c>
      <c r="W20" s="53">
        <v>47955</v>
      </c>
      <c r="X20" s="10">
        <f t="shared" si="0"/>
        <v>23740</v>
      </c>
      <c r="Y20" s="10">
        <f t="shared" si="0"/>
        <v>53505</v>
      </c>
      <c r="Z20" s="29"/>
      <c r="AB20" s="4" t="s">
        <v>111</v>
      </c>
      <c r="AG20" s="4"/>
      <c r="AH20" s="4"/>
      <c r="AI20" s="4"/>
      <c r="AJ20" s="4"/>
      <c r="AK20" s="4"/>
    </row>
    <row r="21" spans="1:37" ht="15" customHeight="1" x14ac:dyDescent="0.3">
      <c r="A21" s="34" t="s">
        <v>60</v>
      </c>
      <c r="B21" s="68">
        <v>0</v>
      </c>
      <c r="C21" s="13"/>
      <c r="D21" s="25"/>
      <c r="E21" s="13"/>
      <c r="F21" s="46" t="s">
        <v>13</v>
      </c>
      <c r="G21" s="25">
        <v>159700</v>
      </c>
      <c r="H21" s="13" t="s">
        <v>97</v>
      </c>
      <c r="J21" s="28">
        <v>0.39600000000000002</v>
      </c>
      <c r="K21" s="54" t="s">
        <v>85</v>
      </c>
      <c r="L21" s="54" t="s">
        <v>85</v>
      </c>
      <c r="P21" s="13"/>
      <c r="Q21" s="30">
        <v>4</v>
      </c>
      <c r="R21" s="31">
        <f>R$20</f>
        <v>45</v>
      </c>
      <c r="S21" s="10">
        <v>13870</v>
      </c>
      <c r="T21" s="31">
        <f t="shared" ref="T21:U24" si="1">T$20</f>
        <v>6269</v>
      </c>
      <c r="U21" s="32">
        <f t="shared" si="1"/>
        <v>21.059762706899079</v>
      </c>
      <c r="V21" s="54"/>
      <c r="W21" s="54"/>
      <c r="X21" s="10">
        <f>$X$20</f>
        <v>23740</v>
      </c>
      <c r="Y21" s="10">
        <f>$Y$20</f>
        <v>53505</v>
      </c>
      <c r="Z21" s="13"/>
      <c r="AB21" s="4" t="s">
        <v>111</v>
      </c>
      <c r="AG21" s="4"/>
      <c r="AH21" s="4"/>
      <c r="AI21" s="4"/>
      <c r="AJ21" s="4"/>
      <c r="AK21" s="4"/>
    </row>
    <row r="22" spans="1:37" x14ac:dyDescent="0.3">
      <c r="A22" s="34" t="s">
        <v>61</v>
      </c>
      <c r="B22" s="68">
        <v>0</v>
      </c>
      <c r="C22" s="13"/>
      <c r="D22" s="25">
        <v>75000</v>
      </c>
      <c r="E22" s="13" t="s">
        <v>88</v>
      </c>
      <c r="F22" s="13"/>
      <c r="G22" s="43">
        <f>IF(LOWER($B$13)="m",G21,G20)</f>
        <v>159700</v>
      </c>
      <c r="H22" s="13" t="s">
        <v>98</v>
      </c>
      <c r="P22" s="13"/>
      <c r="Q22" s="30">
        <v>5</v>
      </c>
      <c r="R22" s="31">
        <f>R$20</f>
        <v>45</v>
      </c>
      <c r="S22" s="10">
        <v>13870</v>
      </c>
      <c r="T22" s="31">
        <f t="shared" si="1"/>
        <v>6269</v>
      </c>
      <c r="U22" s="32">
        <f t="shared" si="1"/>
        <v>21.059762706899079</v>
      </c>
      <c r="V22" s="54"/>
      <c r="W22" s="54"/>
      <c r="X22" s="10">
        <f>$X$20</f>
        <v>23740</v>
      </c>
      <c r="Y22" s="10">
        <f>$Y$20</f>
        <v>53505</v>
      </c>
      <c r="Z22" s="13"/>
      <c r="AB22" s="4" t="s">
        <v>111</v>
      </c>
      <c r="AG22" s="4"/>
      <c r="AH22" s="4"/>
      <c r="AI22" s="4"/>
      <c r="AJ22" s="4"/>
      <c r="AK22" s="4"/>
    </row>
    <row r="23" spans="1:37" x14ac:dyDescent="0.3">
      <c r="C23" s="13"/>
      <c r="D23" s="25">
        <v>110000</v>
      </c>
      <c r="E23" s="13" t="s">
        <v>87</v>
      </c>
      <c r="F23" s="13"/>
      <c r="G23" s="25">
        <v>186300</v>
      </c>
      <c r="H23" s="13" t="s">
        <v>99</v>
      </c>
      <c r="J23" s="2" t="s">
        <v>44</v>
      </c>
      <c r="K23" s="11" t="s">
        <v>45</v>
      </c>
      <c r="L23" s="2" t="s">
        <v>46</v>
      </c>
      <c r="M23" s="2" t="s">
        <v>47</v>
      </c>
      <c r="N23" s="2" t="s">
        <v>48</v>
      </c>
      <c r="O23" s="2" t="s">
        <v>49</v>
      </c>
      <c r="P23" s="13"/>
      <c r="Q23" s="30">
        <v>6</v>
      </c>
      <c r="R23" s="31">
        <f>R$20</f>
        <v>45</v>
      </c>
      <c r="S23" s="10">
        <v>13870</v>
      </c>
      <c r="T23" s="31">
        <f t="shared" si="1"/>
        <v>6269</v>
      </c>
      <c r="U23" s="32">
        <f t="shared" si="1"/>
        <v>21.059762706899079</v>
      </c>
      <c r="V23" s="54"/>
      <c r="W23" s="54"/>
      <c r="X23" s="10">
        <f>$X$20</f>
        <v>23740</v>
      </c>
      <c r="Y23" s="10">
        <f>$Y$20</f>
        <v>53505</v>
      </c>
      <c r="Z23" s="13"/>
      <c r="AG23" s="4"/>
      <c r="AH23" s="4"/>
      <c r="AI23" s="4"/>
      <c r="AJ23" s="4"/>
      <c r="AK23" s="4"/>
    </row>
    <row r="24" spans="1:37" x14ac:dyDescent="0.3">
      <c r="B24" s="36" t="s">
        <v>40</v>
      </c>
      <c r="C24" s="13"/>
      <c r="D24" s="43">
        <f>IF(LOWER($B$13)="m",D23,D22)</f>
        <v>110000</v>
      </c>
      <c r="E24" s="13" t="s">
        <v>92</v>
      </c>
      <c r="F24" s="13"/>
      <c r="J24" s="30">
        <v>0</v>
      </c>
      <c r="K24" s="43">
        <f t="shared" ref="K24:K29" si="2">IF(LOWER($B$13)="m",L15,K15)</f>
        <v>18550</v>
      </c>
      <c r="L24" s="55">
        <f t="shared" ref="L24:L30" si="3">J15</f>
        <v>0.1</v>
      </c>
      <c r="M24" s="43">
        <f>K24</f>
        <v>18550</v>
      </c>
      <c r="N24" s="44">
        <f t="shared" ref="N24:N30" si="4">L24*M24</f>
        <v>1855</v>
      </c>
      <c r="O24" s="45">
        <f>SUM(N24:$N$24)</f>
        <v>1855</v>
      </c>
      <c r="P24" s="13"/>
      <c r="Q24" s="30">
        <v>7</v>
      </c>
      <c r="R24" s="31">
        <f>R$20</f>
        <v>45</v>
      </c>
      <c r="S24" s="10">
        <v>13870</v>
      </c>
      <c r="T24" s="31">
        <f t="shared" si="1"/>
        <v>6269</v>
      </c>
      <c r="U24" s="32">
        <f t="shared" si="1"/>
        <v>21.059762706899079</v>
      </c>
      <c r="V24" s="54"/>
      <c r="W24" s="54"/>
      <c r="X24" s="10">
        <f>$X$20</f>
        <v>23740</v>
      </c>
      <c r="Y24" s="10">
        <f>$Y$20</f>
        <v>53505</v>
      </c>
      <c r="Z24" s="13"/>
      <c r="AG24" s="4"/>
      <c r="AH24" s="4"/>
      <c r="AI24" s="4"/>
      <c r="AJ24" s="4"/>
      <c r="AK24" s="4"/>
    </row>
    <row r="25" spans="1:37" x14ac:dyDescent="0.3">
      <c r="A25" s="34" t="s">
        <v>64</v>
      </c>
      <c r="B25" s="68">
        <v>0</v>
      </c>
      <c r="C25" s="13"/>
      <c r="D25" s="33">
        <v>0.05</v>
      </c>
      <c r="E25" s="13" t="s">
        <v>58</v>
      </c>
      <c r="F25" s="13"/>
      <c r="G25" s="33">
        <v>0.25</v>
      </c>
      <c r="H25" s="13" t="s">
        <v>105</v>
      </c>
      <c r="J25" s="43">
        <f t="shared" ref="J25:J30" si="5">K24+1</f>
        <v>18551</v>
      </c>
      <c r="K25" s="43">
        <f t="shared" si="2"/>
        <v>75300</v>
      </c>
      <c r="L25" s="55">
        <f t="shared" si="3"/>
        <v>0.15</v>
      </c>
      <c r="M25" s="43">
        <f t="shared" ref="M25:M30" si="6">K25-K24</f>
        <v>56750</v>
      </c>
      <c r="N25" s="44">
        <f t="shared" si="4"/>
        <v>8512.5</v>
      </c>
      <c r="O25" s="45">
        <f>SUM(N$24:$N25)</f>
        <v>10367.5</v>
      </c>
      <c r="P25" s="13"/>
      <c r="Q25" s="34"/>
      <c r="R25" s="34"/>
      <c r="S25" s="34"/>
      <c r="T25" s="34"/>
      <c r="U25" s="34"/>
      <c r="X25" s="34"/>
      <c r="Y25" s="34"/>
      <c r="Z25" s="13"/>
      <c r="AG25" s="4"/>
      <c r="AH25" s="4"/>
      <c r="AI25" s="4"/>
      <c r="AJ25" s="4"/>
      <c r="AK25" s="4"/>
    </row>
    <row r="26" spans="1:37" x14ac:dyDescent="0.3">
      <c r="C26" s="13"/>
      <c r="D26" s="47"/>
      <c r="E26" s="13"/>
      <c r="F26" s="13"/>
      <c r="H26" s="4" t="s">
        <v>111</v>
      </c>
      <c r="J26" s="43">
        <f t="shared" si="5"/>
        <v>75301</v>
      </c>
      <c r="K26" s="43">
        <f t="shared" si="2"/>
        <v>151900</v>
      </c>
      <c r="L26" s="55">
        <f t="shared" si="3"/>
        <v>0.25</v>
      </c>
      <c r="M26" s="43">
        <f t="shared" si="6"/>
        <v>76600</v>
      </c>
      <c r="N26" s="44">
        <f t="shared" si="4"/>
        <v>19150</v>
      </c>
      <c r="O26" s="45">
        <f>SUM(N$24:$N26)</f>
        <v>29517.5</v>
      </c>
      <c r="P26" s="13"/>
      <c r="Q26" s="34"/>
      <c r="R26" s="30">
        <v>2</v>
      </c>
      <c r="S26" s="30">
        <v>3</v>
      </c>
      <c r="T26" s="30">
        <v>4</v>
      </c>
      <c r="U26" s="30">
        <v>5</v>
      </c>
      <c r="V26" s="30">
        <v>8</v>
      </c>
      <c r="W26" s="30">
        <v>9</v>
      </c>
      <c r="X26" s="13"/>
      <c r="AG26" s="4"/>
      <c r="AH26" s="4"/>
      <c r="AI26" s="4"/>
      <c r="AJ26" s="4"/>
      <c r="AK26" s="4"/>
    </row>
    <row r="27" spans="1:37" x14ac:dyDescent="0.3">
      <c r="B27" s="35" t="s">
        <v>38</v>
      </c>
      <c r="C27" s="13"/>
      <c r="H27" s="4" t="s">
        <v>111</v>
      </c>
      <c r="J27" s="43">
        <f t="shared" si="5"/>
        <v>151901</v>
      </c>
      <c r="K27" s="43">
        <f t="shared" si="2"/>
        <v>231450</v>
      </c>
      <c r="L27" s="55">
        <f t="shared" si="3"/>
        <v>0.28000000000000003</v>
      </c>
      <c r="M27" s="43">
        <f t="shared" si="6"/>
        <v>79550</v>
      </c>
      <c r="N27" s="44">
        <f t="shared" si="4"/>
        <v>22274.000000000004</v>
      </c>
      <c r="O27" s="45">
        <f>SUM(N$24:$N27)</f>
        <v>51791.5</v>
      </c>
      <c r="P27" s="13"/>
      <c r="Q27" s="34"/>
      <c r="R27" s="30">
        <f t="shared" ref="R27:W27" si="7">VLOOKUP(num_kids_16_younger,$Q$17:$Y$24,R26)</f>
        <v>45</v>
      </c>
      <c r="S27" s="30">
        <f t="shared" si="7"/>
        <v>13870</v>
      </c>
      <c r="T27" s="30">
        <f t="shared" si="7"/>
        <v>6269</v>
      </c>
      <c r="U27" s="30">
        <f t="shared" si="7"/>
        <v>21.059762706899079</v>
      </c>
      <c r="V27" s="30">
        <f t="shared" si="7"/>
        <v>23740</v>
      </c>
      <c r="W27" s="30">
        <f t="shared" si="7"/>
        <v>53505</v>
      </c>
      <c r="X27" s="13"/>
      <c r="AG27" s="4"/>
      <c r="AH27" s="4"/>
      <c r="AI27" s="4"/>
      <c r="AJ27" s="4"/>
      <c r="AK27" s="4"/>
    </row>
    <row r="28" spans="1:37" x14ac:dyDescent="0.3">
      <c r="A28" s="34" t="s">
        <v>16</v>
      </c>
      <c r="B28" s="68">
        <v>0</v>
      </c>
      <c r="C28" s="13"/>
      <c r="D28" s="28">
        <v>8.9999999999999993E-3</v>
      </c>
      <c r="E28" s="4" t="s">
        <v>70</v>
      </c>
      <c r="H28" s="4" t="s">
        <v>111</v>
      </c>
      <c r="J28" s="43">
        <f t="shared" si="5"/>
        <v>231451</v>
      </c>
      <c r="K28" s="43">
        <f t="shared" si="2"/>
        <v>413350</v>
      </c>
      <c r="L28" s="55">
        <f t="shared" si="3"/>
        <v>0.33</v>
      </c>
      <c r="M28" s="43">
        <f t="shared" si="6"/>
        <v>181900</v>
      </c>
      <c r="N28" s="44">
        <f t="shared" si="4"/>
        <v>60027</v>
      </c>
      <c r="O28" s="45">
        <f>SUM(N$24:$N28)</f>
        <v>111818.5</v>
      </c>
      <c r="AG28" s="4"/>
      <c r="AH28" s="4"/>
      <c r="AI28" s="4"/>
      <c r="AJ28" s="4"/>
      <c r="AK28" s="4"/>
    </row>
    <row r="29" spans="1:37" ht="14.4" customHeight="1" x14ac:dyDescent="0.3">
      <c r="A29" s="34" t="s">
        <v>39</v>
      </c>
      <c r="B29" s="68">
        <v>0</v>
      </c>
      <c r="C29" s="13"/>
      <c r="D29" s="25">
        <v>200000</v>
      </c>
      <c r="E29" s="4" t="s">
        <v>93</v>
      </c>
      <c r="H29" s="4" t="s">
        <v>111</v>
      </c>
      <c r="J29" s="43">
        <f t="shared" si="5"/>
        <v>413351</v>
      </c>
      <c r="K29" s="43">
        <f t="shared" si="2"/>
        <v>466950</v>
      </c>
      <c r="L29" s="55">
        <f t="shared" si="3"/>
        <v>0.35</v>
      </c>
      <c r="M29" s="43">
        <f t="shared" si="6"/>
        <v>53600</v>
      </c>
      <c r="N29" s="44">
        <f t="shared" si="4"/>
        <v>18760</v>
      </c>
      <c r="O29" s="45">
        <f>SUM(N$24:$N29)</f>
        <v>130578.5</v>
      </c>
      <c r="AH29" s="4"/>
      <c r="AI29" s="4"/>
      <c r="AJ29" s="4"/>
      <c r="AK29" s="4"/>
    </row>
    <row r="30" spans="1:37" x14ac:dyDescent="0.3">
      <c r="A30" s="34" t="s">
        <v>41</v>
      </c>
      <c r="B30" s="68">
        <v>0</v>
      </c>
      <c r="C30" s="13"/>
      <c r="D30" s="25">
        <v>250000</v>
      </c>
      <c r="E30" s="4" t="s">
        <v>94</v>
      </c>
      <c r="H30" s="4" t="s">
        <v>111</v>
      </c>
      <c r="J30" s="43">
        <f t="shared" si="5"/>
        <v>466951</v>
      </c>
      <c r="K30" s="43">
        <v>9999999999</v>
      </c>
      <c r="L30" s="55">
        <f t="shared" si="3"/>
        <v>0.39600000000000002</v>
      </c>
      <c r="M30" s="43">
        <f t="shared" si="6"/>
        <v>9999533049</v>
      </c>
      <c r="N30" s="44">
        <f t="shared" si="4"/>
        <v>3959815087.4040003</v>
      </c>
      <c r="O30" s="45">
        <f>SUM(N$24:$N30)</f>
        <v>3959945665.9040003</v>
      </c>
      <c r="AH30" s="4"/>
      <c r="AI30" s="4"/>
      <c r="AJ30" s="4"/>
      <c r="AK30" s="4"/>
    </row>
    <row r="31" spans="1:37" x14ac:dyDescent="0.3">
      <c r="A31" s="34" t="s">
        <v>42</v>
      </c>
      <c r="B31" s="68">
        <v>0</v>
      </c>
      <c r="C31" s="13"/>
      <c r="D31" s="43">
        <f>IF(LOWER($B$13)="m",D30,D29)</f>
        <v>250000</v>
      </c>
      <c r="E31" s="4" t="s">
        <v>95</v>
      </c>
      <c r="H31" s="4" t="s">
        <v>111</v>
      </c>
      <c r="K31" s="13"/>
      <c r="L31" s="13"/>
      <c r="M31" s="4" t="s">
        <v>111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D31" s="4"/>
      <c r="AE31" s="13"/>
    </row>
    <row r="32" spans="1:37" x14ac:dyDescent="0.3">
      <c r="A32" s="34" t="s">
        <v>15</v>
      </c>
      <c r="B32" s="68">
        <v>0</v>
      </c>
      <c r="C32" s="13"/>
      <c r="D32" s="13"/>
      <c r="E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D32" s="4"/>
      <c r="AE32" s="13"/>
    </row>
    <row r="33" spans="1:43" x14ac:dyDescent="0.3">
      <c r="A33" s="34" t="s">
        <v>112</v>
      </c>
      <c r="B33" s="68">
        <v>0</v>
      </c>
      <c r="C33" s="13"/>
      <c r="D33" s="13"/>
      <c r="E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4"/>
      <c r="AF33" s="4"/>
      <c r="AG33" s="4"/>
      <c r="AH33" s="4"/>
      <c r="AI33" s="4"/>
      <c r="AJ33" s="4"/>
      <c r="AQ33" s="4"/>
    </row>
    <row r="34" spans="1:43" x14ac:dyDescent="0.3">
      <c r="C34" s="13"/>
      <c r="D34" s="13"/>
      <c r="E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D34" s="4"/>
      <c r="AF34" s="4"/>
      <c r="AG34" s="4"/>
      <c r="AH34" s="4"/>
      <c r="AI34" s="4"/>
      <c r="AJ34" s="4"/>
      <c r="AQ34" s="4"/>
    </row>
    <row r="35" spans="1:43" x14ac:dyDescent="0.3">
      <c r="AC35" s="14"/>
      <c r="AD35" s="26"/>
      <c r="AE35" s="26"/>
      <c r="AF35" s="26"/>
    </row>
    <row r="36" spans="1:43" s="35" customFormat="1" x14ac:dyDescent="0.3">
      <c r="A36" s="60"/>
      <c r="C36" s="75" t="s">
        <v>52</v>
      </c>
      <c r="D36" s="75"/>
      <c r="E36" s="75"/>
      <c r="F36" s="72" t="s">
        <v>65</v>
      </c>
      <c r="G36" s="73"/>
      <c r="H36" s="73"/>
      <c r="I36" s="73"/>
      <c r="J36" s="74"/>
      <c r="K36" s="72" t="s">
        <v>53</v>
      </c>
      <c r="L36" s="73"/>
      <c r="M36" s="73"/>
      <c r="N36" s="73"/>
      <c r="O36" s="73"/>
      <c r="P36" s="74"/>
      <c r="Q36" s="50" t="s">
        <v>67</v>
      </c>
      <c r="R36" s="36"/>
      <c r="S36" s="36"/>
      <c r="T36" s="72" t="s">
        <v>55</v>
      </c>
      <c r="U36" s="73"/>
      <c r="V36" s="73"/>
      <c r="W36" s="74"/>
      <c r="X36" s="36"/>
      <c r="Y36" s="36"/>
      <c r="Z36" s="36"/>
      <c r="AA36" s="36"/>
      <c r="AB36" s="36"/>
      <c r="AC36" s="36"/>
      <c r="AD36" s="37"/>
      <c r="AE36" s="36"/>
    </row>
    <row r="37" spans="1:43" s="26" customFormat="1" ht="86.4" x14ac:dyDescent="0.3">
      <c r="A37" s="61"/>
      <c r="B37" s="38" t="s">
        <v>103</v>
      </c>
      <c r="C37" s="38" t="s">
        <v>68</v>
      </c>
      <c r="D37" s="38" t="s">
        <v>20</v>
      </c>
      <c r="E37" s="38" t="s">
        <v>69</v>
      </c>
      <c r="F37" s="38" t="s">
        <v>21</v>
      </c>
      <c r="G37" s="38" t="s">
        <v>22</v>
      </c>
      <c r="H37" s="38" t="s">
        <v>23</v>
      </c>
      <c r="I37" s="38" t="s">
        <v>24</v>
      </c>
      <c r="J37" s="38" t="s">
        <v>25</v>
      </c>
      <c r="K37" s="38" t="s">
        <v>26</v>
      </c>
      <c r="L37" s="38" t="s">
        <v>27</v>
      </c>
      <c r="M37" s="38" t="s">
        <v>28</v>
      </c>
      <c r="N37" s="38" t="s">
        <v>66</v>
      </c>
      <c r="O37" s="39" t="s">
        <v>72</v>
      </c>
      <c r="P37" s="39" t="s">
        <v>81</v>
      </c>
      <c r="Q37" s="39" t="s">
        <v>29</v>
      </c>
      <c r="R37" s="39" t="s">
        <v>30</v>
      </c>
      <c r="S37" s="39" t="s">
        <v>54</v>
      </c>
      <c r="T37" s="39" t="s">
        <v>80</v>
      </c>
      <c r="U37" s="39" t="s">
        <v>34</v>
      </c>
      <c r="V37" s="39" t="s">
        <v>35</v>
      </c>
      <c r="W37" s="39" t="s">
        <v>31</v>
      </c>
      <c r="X37" s="39" t="s">
        <v>56</v>
      </c>
      <c r="Y37" s="39" t="s">
        <v>36</v>
      </c>
      <c r="Z37" s="39" t="s">
        <v>57</v>
      </c>
      <c r="AA37" s="38" t="s">
        <v>71</v>
      </c>
      <c r="AB37" s="40" t="s">
        <v>32</v>
      </c>
      <c r="AC37" s="38"/>
    </row>
    <row r="38" spans="1:43" s="26" customFormat="1" x14ac:dyDescent="0.3">
      <c r="A38" s="61"/>
      <c r="B38" s="41">
        <v>500</v>
      </c>
      <c r="C38" s="1">
        <f>Table1[[#This Row],[taxable wages]]</f>
        <v>500</v>
      </c>
      <c r="D38" s="1">
        <f>Table1[[#This Row],[taxable wages]]+interest+dividends+short_term_capital_gains+long_term_capital_gains</f>
        <v>500</v>
      </c>
      <c r="E38" s="1">
        <f>MAX(Table1[[#This Row],[earned income for EITC]:[Agi For Eitc Calc]])</f>
        <v>500</v>
      </c>
      <c r="F38" s="1">
        <f>Table1[[#This Row],[taxable wages]]+interest+dividends+short_term_capital_gains+long_term_capital_gains-(trad_ira_contributions+MIN(student_loan_interest_cap,student_loan_interest))</f>
        <v>500</v>
      </c>
      <c r="G38" s="1">
        <f t="shared" ref="G38:G101" si="8">MAX(standard_deduction,mortgage_interest+real_estate_property_taxes+state_income_tax_paid+charitable_donations+medical_expenses)</f>
        <v>12600</v>
      </c>
      <c r="H38" s="1">
        <f t="shared" ref="H38:H101" si="9">num_people_in_family*personal_exemption</f>
        <v>28350</v>
      </c>
      <c r="I38" s="1">
        <f>MAX(0,Table1[[#This Row],[Agi]]-Table1[[#This Row],[Exemptions]]-Table1[[#This Row],[Effective Deductions]])</f>
        <v>0</v>
      </c>
      <c r="J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38" s="1">
        <f t="shared" ref="K38:K101" si="10">child_tax_credit*num_kids_16_younger</f>
        <v>5000</v>
      </c>
      <c r="L38" s="1">
        <f>IF(Table1[[#This Row],[Agi]]&gt;ctc_phase_out_begins,ctc_phase_out_rate*(Table1[[#This Row],[Agi]]-ctc_phase_out_begins),0)</f>
        <v>0</v>
      </c>
      <c r="M38" s="1">
        <f>MAX(Table1[[#This Row],[Child Tax Credit]]-Table1[[#This Row],[Child Tax Credit Phase Out]],0)</f>
        <v>5000</v>
      </c>
      <c r="N38" s="1">
        <f>MAX(Table1[[#This Row],[Regular Taxes Owed]]-Table1[[#This Row],[Effective Child Tax Credit]],0)</f>
        <v>0</v>
      </c>
      <c r="O38" s="1">
        <f>MAX(MIN((Table1[[#This Row],[taxable wages]]-3000)*0.15,1000*num_kids_16_younger),0)</f>
        <v>0</v>
      </c>
      <c r="P38" s="9">
        <f>IF(Table1[[#This Row],[Effective Child Tax Credit]]&gt;Table1[[#This Row],[Regular Taxes Owed]],Table1[[#This Row],[Additional Child Tax Credit ]]-Table1[[#This Row],[Regular Taxes Owed]],0)</f>
        <v>0</v>
      </c>
      <c r="Q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225</v>
      </c>
      <c r="R38" s="1">
        <f>Table1[[#This Row],[Effective Additional Child Tax Credit]]+Table1[[#This Row],[Eitc]]</f>
        <v>225</v>
      </c>
      <c r="S38" s="9">
        <f>Table1[[#This Row],[Regular Taxes Owed - Effective Child Tax Credit]]-Table1[[#This Row],[Total Credits]]</f>
        <v>-225</v>
      </c>
      <c r="T38" s="9">
        <f>Table1[[#This Row],[taxable wages]]+interest+dividends+short_term_capital_gains+long_term_capital_gains-(charitable_donations+mortgage_interest)</f>
        <v>500</v>
      </c>
      <c r="U38" s="9">
        <f>MAX(amt_exemption-amt_exemption_phase_out_rate*MAX(Table1[[#This Row],[taxable wages]]-amt_phase_out_begins,0),0)</f>
        <v>83800</v>
      </c>
      <c r="V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38" s="1">
        <f>IF(AND(Table1[[#This Row],[AMT Taxes]]&gt;Table1[[#This Row],[Regular Taxes Owed]],Table1[[#This Row],[AMT Taxes]]&gt;0),Table1[[#This Row],[AMT Taxes]]-Table1[[#This Row],[Regular Taxes Owed]],0)</f>
        <v>0</v>
      </c>
      <c r="X38" s="9">
        <f>Table1[[#This Row],[Extra Taxes From Amt]]+Table1[[#This Row],[Federal Taxes Owed (No AMT)]]</f>
        <v>-225</v>
      </c>
      <c r="Y38" s="9">
        <f>IF(Table1[[#This Row],[taxable wages]]&gt;obamacare_surcharge_amount,obamacare_surcharge_percent*(Table1[[#This Row],[taxable wages]]-obamacare_surcharge_amount),0)</f>
        <v>0</v>
      </c>
      <c r="Z38" s="9">
        <f>Table1[[#This Row],[Federal Taxes Owed (Includes AMT)]]+Table1[[#This Row],[Obamacare surcharge premium]]</f>
        <v>-225</v>
      </c>
      <c r="AA38" s="9">
        <f>Table1[[#This Row],[taxable wages]]-Table1[[#This Row],[Federal Taxes Owed2]]</f>
        <v>725</v>
      </c>
      <c r="AB38" s="42"/>
      <c r="AC38" s="41"/>
    </row>
    <row r="39" spans="1:43" s="26" customFormat="1" x14ac:dyDescent="0.3">
      <c r="A39" s="61"/>
      <c r="B39" s="41">
        <f>B38+500</f>
        <v>1000</v>
      </c>
      <c r="C39" s="1">
        <f>Table1[[#This Row],[taxable wages]]</f>
        <v>1000</v>
      </c>
      <c r="D39" s="1">
        <f>Table1[[#This Row],[taxable wages]]+interest+dividends+short_term_capital_gains+long_term_capital_gains</f>
        <v>1000</v>
      </c>
      <c r="E39" s="1">
        <f>MAX(Table1[[#This Row],[earned income for EITC]:[Agi For Eitc Calc]])</f>
        <v>1000</v>
      </c>
      <c r="F39" s="1">
        <f>Table1[[#This Row],[taxable wages]]+interest+dividends+short_term_capital_gains+long_term_capital_gains-(trad_ira_contributions+MIN(student_loan_interest_cap,student_loan_interest))</f>
        <v>1000</v>
      </c>
      <c r="G39" s="1">
        <f t="shared" si="8"/>
        <v>12600</v>
      </c>
      <c r="H39" s="1">
        <f t="shared" si="9"/>
        <v>28350</v>
      </c>
      <c r="I39" s="1">
        <f>MAX(0,Table1[[#This Row],[Agi]]-Table1[[#This Row],[Exemptions]]-Table1[[#This Row],[Effective Deductions]])</f>
        <v>0</v>
      </c>
      <c r="J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39" s="1">
        <f t="shared" si="10"/>
        <v>5000</v>
      </c>
      <c r="L39" s="1">
        <f>IF(Table1[[#This Row],[Agi]]&gt;ctc_phase_out_begins,ctc_phase_out_rate*(Table1[[#This Row],[Agi]]-ctc_phase_out_begins),0)</f>
        <v>0</v>
      </c>
      <c r="M39" s="1">
        <f>MAX(Table1[[#This Row],[Child Tax Credit]]-Table1[[#This Row],[Child Tax Credit Phase Out]],0)</f>
        <v>5000</v>
      </c>
      <c r="N39" s="1">
        <f>MAX(Table1[[#This Row],[Regular Taxes Owed]]-Table1[[#This Row],[Effective Child Tax Credit]],0)</f>
        <v>0</v>
      </c>
      <c r="O39" s="1">
        <f>MAX(MIN((Table1[[#This Row],[taxable wages]]-3000)*0.15,1000*num_kids_16_younger),0)</f>
        <v>0</v>
      </c>
      <c r="P39" s="9">
        <f>IF(Table1[[#This Row],[Effective Child Tax Credit]]&gt;Table1[[#This Row],[Regular Taxes Owed]],Table1[[#This Row],[Additional Child Tax Credit ]]-Table1[[#This Row],[Regular Taxes Owed]],0)</f>
        <v>0</v>
      </c>
      <c r="Q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450</v>
      </c>
      <c r="R39" s="1">
        <f>Table1[[#This Row],[Effective Additional Child Tax Credit]]+Table1[[#This Row],[Eitc]]</f>
        <v>450</v>
      </c>
      <c r="S39" s="9">
        <f>Table1[[#This Row],[Regular Taxes Owed - Effective Child Tax Credit]]-Table1[[#This Row],[Total Credits]]</f>
        <v>-450</v>
      </c>
      <c r="T39" s="9">
        <f>Table1[[#This Row],[taxable wages]]+interest+dividends+short_term_capital_gains+long_term_capital_gains-(charitable_donations+mortgage_interest)</f>
        <v>1000</v>
      </c>
      <c r="U39" s="9">
        <f>MAX(amt_exemption-amt_exemption_phase_out_rate*MAX(Table1[[#This Row],[taxable wages]]-amt_phase_out_begins,0),0)</f>
        <v>83800</v>
      </c>
      <c r="V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39" s="1">
        <f>IF(AND(Table1[[#This Row],[AMT Taxes]]&gt;Table1[[#This Row],[Regular Taxes Owed]],Table1[[#This Row],[AMT Taxes]]&gt;0),Table1[[#This Row],[AMT Taxes]]-Table1[[#This Row],[Regular Taxes Owed]],0)</f>
        <v>0</v>
      </c>
      <c r="X39" s="9">
        <f>Table1[[#This Row],[Extra Taxes From Amt]]+Table1[[#This Row],[Federal Taxes Owed (No AMT)]]</f>
        <v>-450</v>
      </c>
      <c r="Y39" s="9">
        <f>IF(Table1[[#This Row],[taxable wages]]&gt;obamacare_surcharge_amount,obamacare_surcharge_percent*(Table1[[#This Row],[taxable wages]]-obamacare_surcharge_amount),0)</f>
        <v>0</v>
      </c>
      <c r="Z39" s="9">
        <f>Table1[[#This Row],[Federal Taxes Owed (Includes AMT)]]+Table1[[#This Row],[Obamacare surcharge premium]]</f>
        <v>-450</v>
      </c>
      <c r="AA39" s="9">
        <f>Table1[[#This Row],[taxable wages]]-Table1[[#This Row],[Federal Taxes Owed2]]</f>
        <v>1450</v>
      </c>
      <c r="AB39" s="51">
        <f t="shared" ref="AB39:AB102" si="11">(Z39-Z38)/(B39-B38)</f>
        <v>-0.45</v>
      </c>
      <c r="AC39" s="41"/>
      <c r="AJ39" s="13"/>
    </row>
    <row r="40" spans="1:43" s="26" customFormat="1" x14ac:dyDescent="0.3">
      <c r="A40" s="61"/>
      <c r="B40" s="41">
        <f t="shared" ref="B40:B103" si="12">B39+500</f>
        <v>1500</v>
      </c>
      <c r="C40" s="1">
        <f>Table1[[#This Row],[taxable wages]]</f>
        <v>1500</v>
      </c>
      <c r="D40" s="1">
        <f>Table1[[#This Row],[taxable wages]]+interest+dividends+short_term_capital_gains+long_term_capital_gains</f>
        <v>1500</v>
      </c>
      <c r="E40" s="1">
        <f>MAX(Table1[[#This Row],[earned income for EITC]:[Agi For Eitc Calc]])</f>
        <v>1500</v>
      </c>
      <c r="F40" s="1">
        <f>Table1[[#This Row],[taxable wages]]+interest+dividends+short_term_capital_gains+long_term_capital_gains-(trad_ira_contributions+MIN(student_loan_interest_cap,student_loan_interest))</f>
        <v>1500</v>
      </c>
      <c r="G40" s="1">
        <f t="shared" si="8"/>
        <v>12600</v>
      </c>
      <c r="H40" s="1">
        <f t="shared" si="9"/>
        <v>28350</v>
      </c>
      <c r="I40" s="1">
        <f>MAX(0,Table1[[#This Row],[Agi]]-Table1[[#This Row],[Exemptions]]-Table1[[#This Row],[Effective Deductions]])</f>
        <v>0</v>
      </c>
      <c r="J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0" s="1">
        <f t="shared" si="10"/>
        <v>5000</v>
      </c>
      <c r="L40" s="1">
        <f>IF(Table1[[#This Row],[Agi]]&gt;ctc_phase_out_begins,ctc_phase_out_rate*(Table1[[#This Row],[Agi]]-ctc_phase_out_begins),0)</f>
        <v>0</v>
      </c>
      <c r="M40" s="1">
        <f>MAX(Table1[[#This Row],[Child Tax Credit]]-Table1[[#This Row],[Child Tax Credit Phase Out]],0)</f>
        <v>5000</v>
      </c>
      <c r="N40" s="1">
        <f>MAX(Table1[[#This Row],[Regular Taxes Owed]]-Table1[[#This Row],[Effective Child Tax Credit]],0)</f>
        <v>0</v>
      </c>
      <c r="O40" s="1">
        <f>MAX(MIN((Table1[[#This Row],[taxable wages]]-3000)*0.15,1000*num_kids_16_younger),0)</f>
        <v>0</v>
      </c>
      <c r="P40" s="9">
        <f>IF(Table1[[#This Row],[Effective Child Tax Credit]]&gt;Table1[[#This Row],[Regular Taxes Owed]],Table1[[#This Row],[Additional Child Tax Credit ]]-Table1[[#This Row],[Regular Taxes Owed]],0)</f>
        <v>0</v>
      </c>
      <c r="Q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675</v>
      </c>
      <c r="R40" s="1">
        <f>Table1[[#This Row],[Effective Additional Child Tax Credit]]+Table1[[#This Row],[Eitc]]</f>
        <v>675</v>
      </c>
      <c r="S40" s="9">
        <f>Table1[[#This Row],[Regular Taxes Owed - Effective Child Tax Credit]]-Table1[[#This Row],[Total Credits]]</f>
        <v>-675</v>
      </c>
      <c r="T40" s="9">
        <f>Table1[[#This Row],[taxable wages]]+interest+dividends+short_term_capital_gains+long_term_capital_gains-(charitable_donations+mortgage_interest)</f>
        <v>1500</v>
      </c>
      <c r="U40" s="9">
        <f>MAX(amt_exemption-amt_exemption_phase_out_rate*MAX(Table1[[#This Row],[taxable wages]]-amt_phase_out_begins,0),0)</f>
        <v>83800</v>
      </c>
      <c r="V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0" s="1">
        <f>IF(AND(Table1[[#This Row],[AMT Taxes]]&gt;Table1[[#This Row],[Regular Taxes Owed]],Table1[[#This Row],[AMT Taxes]]&gt;0),Table1[[#This Row],[AMT Taxes]]-Table1[[#This Row],[Regular Taxes Owed]],0)</f>
        <v>0</v>
      </c>
      <c r="X40" s="9">
        <f>Table1[[#This Row],[Extra Taxes From Amt]]+Table1[[#This Row],[Federal Taxes Owed (No AMT)]]</f>
        <v>-675</v>
      </c>
      <c r="Y40" s="9">
        <f>IF(Table1[[#This Row],[taxable wages]]&gt;obamacare_surcharge_amount,obamacare_surcharge_percent*(Table1[[#This Row],[taxable wages]]-obamacare_surcharge_amount),0)</f>
        <v>0</v>
      </c>
      <c r="Z40" s="9">
        <f>Table1[[#This Row],[Federal Taxes Owed (Includes AMT)]]+Table1[[#This Row],[Obamacare surcharge premium]]</f>
        <v>-675</v>
      </c>
      <c r="AA40" s="9">
        <f>Table1[[#This Row],[taxable wages]]-Table1[[#This Row],[Federal Taxes Owed2]]</f>
        <v>2175</v>
      </c>
      <c r="AB40" s="51">
        <f t="shared" si="11"/>
        <v>-0.45</v>
      </c>
      <c r="AC40" s="41"/>
      <c r="AJ40" s="13"/>
    </row>
    <row r="41" spans="1:43" s="26" customFormat="1" x14ac:dyDescent="0.3">
      <c r="A41" s="61"/>
      <c r="B41" s="41">
        <f t="shared" si="12"/>
        <v>2000</v>
      </c>
      <c r="C41" s="1">
        <f>Table1[[#This Row],[taxable wages]]</f>
        <v>2000</v>
      </c>
      <c r="D41" s="1">
        <f>Table1[[#This Row],[taxable wages]]+interest+dividends+short_term_capital_gains+long_term_capital_gains</f>
        <v>2000</v>
      </c>
      <c r="E41" s="1">
        <f>MAX(Table1[[#This Row],[earned income for EITC]:[Agi For Eitc Calc]])</f>
        <v>2000</v>
      </c>
      <c r="F41" s="1">
        <f>Table1[[#This Row],[taxable wages]]+interest+dividends+short_term_capital_gains+long_term_capital_gains-(trad_ira_contributions+MIN(student_loan_interest_cap,student_loan_interest))</f>
        <v>2000</v>
      </c>
      <c r="G41" s="1">
        <f t="shared" si="8"/>
        <v>12600</v>
      </c>
      <c r="H41" s="1">
        <f t="shared" si="9"/>
        <v>28350</v>
      </c>
      <c r="I41" s="1">
        <f>MAX(0,Table1[[#This Row],[Agi]]-Table1[[#This Row],[Exemptions]]-Table1[[#This Row],[Effective Deductions]])</f>
        <v>0</v>
      </c>
      <c r="J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1" s="1">
        <f t="shared" si="10"/>
        <v>5000</v>
      </c>
      <c r="L41" s="1">
        <f>IF(Table1[[#This Row],[Agi]]&gt;ctc_phase_out_begins,ctc_phase_out_rate*(Table1[[#This Row],[Agi]]-ctc_phase_out_begins),0)</f>
        <v>0</v>
      </c>
      <c r="M41" s="1">
        <f>MAX(Table1[[#This Row],[Child Tax Credit]]-Table1[[#This Row],[Child Tax Credit Phase Out]],0)</f>
        <v>5000</v>
      </c>
      <c r="N41" s="1">
        <f>MAX(Table1[[#This Row],[Regular Taxes Owed]]-Table1[[#This Row],[Effective Child Tax Credit]],0)</f>
        <v>0</v>
      </c>
      <c r="O41" s="1">
        <f>MAX(MIN((Table1[[#This Row],[taxable wages]]-3000)*0.15,1000*num_kids_16_younger),0)</f>
        <v>0</v>
      </c>
      <c r="P41" s="9">
        <f>IF(Table1[[#This Row],[Effective Child Tax Credit]]&gt;Table1[[#This Row],[Regular Taxes Owed]],Table1[[#This Row],[Additional Child Tax Credit ]]-Table1[[#This Row],[Regular Taxes Owed]],0)</f>
        <v>0</v>
      </c>
      <c r="Q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900</v>
      </c>
      <c r="R41" s="1">
        <f>Table1[[#This Row],[Effective Additional Child Tax Credit]]+Table1[[#This Row],[Eitc]]</f>
        <v>900</v>
      </c>
      <c r="S41" s="9">
        <f>Table1[[#This Row],[Regular Taxes Owed - Effective Child Tax Credit]]-Table1[[#This Row],[Total Credits]]</f>
        <v>-900</v>
      </c>
      <c r="T41" s="9">
        <f>Table1[[#This Row],[taxable wages]]+interest+dividends+short_term_capital_gains+long_term_capital_gains-(charitable_donations+mortgage_interest)</f>
        <v>2000</v>
      </c>
      <c r="U41" s="9">
        <f>MAX(amt_exemption-amt_exemption_phase_out_rate*MAX(Table1[[#This Row],[taxable wages]]-amt_phase_out_begins,0),0)</f>
        <v>83800</v>
      </c>
      <c r="V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1" s="1">
        <f>IF(AND(Table1[[#This Row],[AMT Taxes]]&gt;Table1[[#This Row],[Regular Taxes Owed]],Table1[[#This Row],[AMT Taxes]]&gt;0),Table1[[#This Row],[AMT Taxes]]-Table1[[#This Row],[Regular Taxes Owed]],0)</f>
        <v>0</v>
      </c>
      <c r="X41" s="9">
        <f>Table1[[#This Row],[Extra Taxes From Amt]]+Table1[[#This Row],[Federal Taxes Owed (No AMT)]]</f>
        <v>-900</v>
      </c>
      <c r="Y41" s="9">
        <f>IF(Table1[[#This Row],[taxable wages]]&gt;obamacare_surcharge_amount,obamacare_surcharge_percent*(Table1[[#This Row],[taxable wages]]-obamacare_surcharge_amount),0)</f>
        <v>0</v>
      </c>
      <c r="Z41" s="9">
        <f>Table1[[#This Row],[Federal Taxes Owed (Includes AMT)]]+Table1[[#This Row],[Obamacare surcharge premium]]</f>
        <v>-900</v>
      </c>
      <c r="AA41" s="9">
        <f>Table1[[#This Row],[taxable wages]]-Table1[[#This Row],[Federal Taxes Owed2]]</f>
        <v>2900</v>
      </c>
      <c r="AB41" s="51">
        <f t="shared" si="11"/>
        <v>-0.45</v>
      </c>
      <c r="AC41" s="41"/>
      <c r="AJ41" s="13"/>
    </row>
    <row r="42" spans="1:43" x14ac:dyDescent="0.3">
      <c r="B42" s="41">
        <f t="shared" si="12"/>
        <v>2500</v>
      </c>
      <c r="C42" s="1">
        <f>Table1[[#This Row],[taxable wages]]</f>
        <v>2500</v>
      </c>
      <c r="D42" s="1">
        <f>Table1[[#This Row],[taxable wages]]+interest+dividends+short_term_capital_gains+long_term_capital_gains</f>
        <v>2500</v>
      </c>
      <c r="E42" s="1">
        <f>MAX(Table1[[#This Row],[earned income for EITC]:[Agi For Eitc Calc]])</f>
        <v>2500</v>
      </c>
      <c r="F42" s="1">
        <f>Table1[[#This Row],[taxable wages]]+interest+dividends+short_term_capital_gains+long_term_capital_gains-(trad_ira_contributions+MIN(student_loan_interest_cap,student_loan_interest))</f>
        <v>2500</v>
      </c>
      <c r="G42" s="1">
        <f t="shared" si="8"/>
        <v>12600</v>
      </c>
      <c r="H42" s="1">
        <f t="shared" si="9"/>
        <v>28350</v>
      </c>
      <c r="I42" s="1">
        <f>MAX(0,Table1[[#This Row],[Agi]]-Table1[[#This Row],[Exemptions]]-Table1[[#This Row],[Effective Deductions]])</f>
        <v>0</v>
      </c>
      <c r="J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2" s="1">
        <f t="shared" si="10"/>
        <v>5000</v>
      </c>
      <c r="L42" s="1">
        <f>IF(Table1[[#This Row],[Agi]]&gt;ctc_phase_out_begins,ctc_phase_out_rate*(Table1[[#This Row],[Agi]]-ctc_phase_out_begins),0)</f>
        <v>0</v>
      </c>
      <c r="M42" s="1">
        <f>MAX(Table1[[#This Row],[Child Tax Credit]]-Table1[[#This Row],[Child Tax Credit Phase Out]],0)</f>
        <v>5000</v>
      </c>
      <c r="N42" s="1">
        <f>MAX(Table1[[#This Row],[Regular Taxes Owed]]-Table1[[#This Row],[Effective Child Tax Credit]],0)</f>
        <v>0</v>
      </c>
      <c r="O42" s="1">
        <f>MAX(MIN((Table1[[#This Row],[taxable wages]]-3000)*0.15,1000*num_kids_16_younger),0)</f>
        <v>0</v>
      </c>
      <c r="P42" s="9">
        <f>IF(Table1[[#This Row],[Effective Child Tax Credit]]&gt;Table1[[#This Row],[Regular Taxes Owed]],Table1[[#This Row],[Additional Child Tax Credit ]]-Table1[[#This Row],[Regular Taxes Owed]],0)</f>
        <v>0</v>
      </c>
      <c r="Q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1125</v>
      </c>
      <c r="R42" s="1">
        <f>Table1[[#This Row],[Effective Additional Child Tax Credit]]+Table1[[#This Row],[Eitc]]</f>
        <v>1125</v>
      </c>
      <c r="S42" s="9">
        <f>Table1[[#This Row],[Regular Taxes Owed - Effective Child Tax Credit]]-Table1[[#This Row],[Total Credits]]</f>
        <v>-1125</v>
      </c>
      <c r="T42" s="9">
        <f>Table1[[#This Row],[taxable wages]]+interest+dividends+short_term_capital_gains+long_term_capital_gains-(charitable_donations+mortgage_interest)</f>
        <v>2500</v>
      </c>
      <c r="U42" s="9">
        <f>MAX(amt_exemption-amt_exemption_phase_out_rate*MAX(Table1[[#This Row],[taxable wages]]-amt_phase_out_begins,0),0)</f>
        <v>83800</v>
      </c>
      <c r="V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2" s="1">
        <f>IF(AND(Table1[[#This Row],[AMT Taxes]]&gt;Table1[[#This Row],[Regular Taxes Owed]],Table1[[#This Row],[AMT Taxes]]&gt;0),Table1[[#This Row],[AMT Taxes]]-Table1[[#This Row],[Regular Taxes Owed]],0)</f>
        <v>0</v>
      </c>
      <c r="X42" s="9">
        <f>Table1[[#This Row],[Extra Taxes From Amt]]+Table1[[#This Row],[Federal Taxes Owed (No AMT)]]</f>
        <v>-1125</v>
      </c>
      <c r="Y42" s="9">
        <f>IF(Table1[[#This Row],[taxable wages]]&gt;obamacare_surcharge_amount,obamacare_surcharge_percent*(Table1[[#This Row],[taxable wages]]-obamacare_surcharge_amount),0)</f>
        <v>0</v>
      </c>
      <c r="Z42" s="9">
        <f>Table1[[#This Row],[Federal Taxes Owed (Includes AMT)]]+Table1[[#This Row],[Obamacare surcharge premium]]</f>
        <v>-1125</v>
      </c>
      <c r="AA42" s="9">
        <f>Table1[[#This Row],[taxable wages]]-Table1[[#This Row],[Federal Taxes Owed2]]</f>
        <v>3625</v>
      </c>
      <c r="AB42" s="51">
        <f t="shared" si="11"/>
        <v>-0.45</v>
      </c>
      <c r="AC42" s="41"/>
      <c r="AD42" s="13"/>
      <c r="AE42" s="13"/>
    </row>
    <row r="43" spans="1:43" x14ac:dyDescent="0.3">
      <c r="B43" s="41">
        <f t="shared" si="12"/>
        <v>3000</v>
      </c>
      <c r="C43" s="1">
        <f>Table1[[#This Row],[taxable wages]]</f>
        <v>3000</v>
      </c>
      <c r="D43" s="1">
        <f>Table1[[#This Row],[taxable wages]]+interest+dividends+short_term_capital_gains+long_term_capital_gains</f>
        <v>3000</v>
      </c>
      <c r="E43" s="1">
        <f>MAX(Table1[[#This Row],[earned income for EITC]:[Agi For Eitc Calc]])</f>
        <v>3000</v>
      </c>
      <c r="F43" s="1">
        <f>Table1[[#This Row],[taxable wages]]+interest+dividends+short_term_capital_gains+long_term_capital_gains-(trad_ira_contributions+MIN(student_loan_interest_cap,student_loan_interest))</f>
        <v>3000</v>
      </c>
      <c r="G43" s="1">
        <f t="shared" si="8"/>
        <v>12600</v>
      </c>
      <c r="H43" s="1">
        <f t="shared" si="9"/>
        <v>28350</v>
      </c>
      <c r="I43" s="1">
        <f>MAX(0,Table1[[#This Row],[Agi]]-Table1[[#This Row],[Exemptions]]-Table1[[#This Row],[Effective Deductions]])</f>
        <v>0</v>
      </c>
      <c r="J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3" s="1">
        <f t="shared" si="10"/>
        <v>5000</v>
      </c>
      <c r="L43" s="1">
        <f>IF(Table1[[#This Row],[Agi]]&gt;ctc_phase_out_begins,ctc_phase_out_rate*(Table1[[#This Row],[Agi]]-ctc_phase_out_begins),0)</f>
        <v>0</v>
      </c>
      <c r="M43" s="1">
        <f>MAX(Table1[[#This Row],[Child Tax Credit]]-Table1[[#This Row],[Child Tax Credit Phase Out]],0)</f>
        <v>5000</v>
      </c>
      <c r="N43" s="1">
        <f>MAX(Table1[[#This Row],[Regular Taxes Owed]]-Table1[[#This Row],[Effective Child Tax Credit]],0)</f>
        <v>0</v>
      </c>
      <c r="O43" s="1">
        <f>MAX(MIN((Table1[[#This Row],[taxable wages]]-3000)*0.15,1000*num_kids_16_younger),0)</f>
        <v>0</v>
      </c>
      <c r="P43" s="9">
        <f>IF(Table1[[#This Row],[Effective Child Tax Credit]]&gt;Table1[[#This Row],[Regular Taxes Owed]],Table1[[#This Row],[Additional Child Tax Credit ]]-Table1[[#This Row],[Regular Taxes Owed]],0)</f>
        <v>0</v>
      </c>
      <c r="Q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1350</v>
      </c>
      <c r="R43" s="1">
        <f>Table1[[#This Row],[Effective Additional Child Tax Credit]]+Table1[[#This Row],[Eitc]]</f>
        <v>1350</v>
      </c>
      <c r="S43" s="9">
        <f>Table1[[#This Row],[Regular Taxes Owed - Effective Child Tax Credit]]-Table1[[#This Row],[Total Credits]]</f>
        <v>-1350</v>
      </c>
      <c r="T43" s="9">
        <f>Table1[[#This Row],[taxable wages]]+interest+dividends+short_term_capital_gains+long_term_capital_gains-(charitable_donations+mortgage_interest)</f>
        <v>3000</v>
      </c>
      <c r="U43" s="9">
        <f>MAX(amt_exemption-amt_exemption_phase_out_rate*MAX(Table1[[#This Row],[taxable wages]]-amt_phase_out_begins,0),0)</f>
        <v>83800</v>
      </c>
      <c r="V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3" s="1">
        <f>IF(AND(Table1[[#This Row],[AMT Taxes]]&gt;Table1[[#This Row],[Regular Taxes Owed]],Table1[[#This Row],[AMT Taxes]]&gt;0),Table1[[#This Row],[AMT Taxes]]-Table1[[#This Row],[Regular Taxes Owed]],0)</f>
        <v>0</v>
      </c>
      <c r="X43" s="9">
        <f>Table1[[#This Row],[Extra Taxes From Amt]]+Table1[[#This Row],[Federal Taxes Owed (No AMT)]]</f>
        <v>-1350</v>
      </c>
      <c r="Y43" s="9">
        <f>IF(Table1[[#This Row],[taxable wages]]&gt;obamacare_surcharge_amount,obamacare_surcharge_percent*(Table1[[#This Row],[taxable wages]]-obamacare_surcharge_amount),0)</f>
        <v>0</v>
      </c>
      <c r="Z43" s="9">
        <f>Table1[[#This Row],[Federal Taxes Owed (Includes AMT)]]+Table1[[#This Row],[Obamacare surcharge premium]]</f>
        <v>-1350</v>
      </c>
      <c r="AA43" s="9">
        <f>Table1[[#This Row],[taxable wages]]-Table1[[#This Row],[Federal Taxes Owed2]]</f>
        <v>4350</v>
      </c>
      <c r="AB43" s="51">
        <f t="shared" si="11"/>
        <v>-0.45</v>
      </c>
      <c r="AC43" s="41"/>
      <c r="AD43" s="13"/>
      <c r="AE43" s="13"/>
    </row>
    <row r="44" spans="1:43" x14ac:dyDescent="0.3">
      <c r="B44" s="41">
        <f t="shared" si="12"/>
        <v>3500</v>
      </c>
      <c r="C44" s="1">
        <f>Table1[[#This Row],[taxable wages]]</f>
        <v>3500</v>
      </c>
      <c r="D44" s="1">
        <f>Table1[[#This Row],[taxable wages]]+interest+dividends+short_term_capital_gains+long_term_capital_gains</f>
        <v>3500</v>
      </c>
      <c r="E44" s="1">
        <f>MAX(Table1[[#This Row],[earned income for EITC]:[Agi For Eitc Calc]])</f>
        <v>3500</v>
      </c>
      <c r="F44" s="1">
        <f>Table1[[#This Row],[taxable wages]]+interest+dividends+short_term_capital_gains+long_term_capital_gains-(trad_ira_contributions+MIN(student_loan_interest_cap,student_loan_interest))</f>
        <v>3500</v>
      </c>
      <c r="G44" s="1">
        <f t="shared" si="8"/>
        <v>12600</v>
      </c>
      <c r="H44" s="1">
        <f t="shared" si="9"/>
        <v>28350</v>
      </c>
      <c r="I44" s="1">
        <f>MAX(0,Table1[[#This Row],[Agi]]-Table1[[#This Row],[Exemptions]]-Table1[[#This Row],[Effective Deductions]])</f>
        <v>0</v>
      </c>
      <c r="J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4" s="1">
        <f t="shared" si="10"/>
        <v>5000</v>
      </c>
      <c r="L44" s="1">
        <f>IF(Table1[[#This Row],[Agi]]&gt;ctc_phase_out_begins,ctc_phase_out_rate*(Table1[[#This Row],[Agi]]-ctc_phase_out_begins),0)</f>
        <v>0</v>
      </c>
      <c r="M44" s="1">
        <f>MAX(Table1[[#This Row],[Child Tax Credit]]-Table1[[#This Row],[Child Tax Credit Phase Out]],0)</f>
        <v>5000</v>
      </c>
      <c r="N44" s="1">
        <f>MAX(Table1[[#This Row],[Regular Taxes Owed]]-Table1[[#This Row],[Effective Child Tax Credit]],0)</f>
        <v>0</v>
      </c>
      <c r="O44" s="1">
        <f>MAX(MIN((Table1[[#This Row],[taxable wages]]-3000)*0.15,1000*num_kids_16_younger),0)</f>
        <v>75</v>
      </c>
      <c r="P44" s="9">
        <f>IF(Table1[[#This Row],[Effective Child Tax Credit]]&gt;Table1[[#This Row],[Regular Taxes Owed]],Table1[[#This Row],[Additional Child Tax Credit ]]-Table1[[#This Row],[Regular Taxes Owed]],0)</f>
        <v>75</v>
      </c>
      <c r="Q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1575</v>
      </c>
      <c r="R44" s="1">
        <f>Table1[[#This Row],[Effective Additional Child Tax Credit]]+Table1[[#This Row],[Eitc]]</f>
        <v>1650</v>
      </c>
      <c r="S44" s="9">
        <f>Table1[[#This Row],[Regular Taxes Owed - Effective Child Tax Credit]]-Table1[[#This Row],[Total Credits]]</f>
        <v>-1650</v>
      </c>
      <c r="T44" s="9">
        <f>Table1[[#This Row],[taxable wages]]+interest+dividends+short_term_capital_gains+long_term_capital_gains-(charitable_donations+mortgage_interest)</f>
        <v>3500</v>
      </c>
      <c r="U44" s="9">
        <f>MAX(amt_exemption-amt_exemption_phase_out_rate*MAX(Table1[[#This Row],[taxable wages]]-amt_phase_out_begins,0),0)</f>
        <v>83800</v>
      </c>
      <c r="V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4" s="1">
        <f>IF(AND(Table1[[#This Row],[AMT Taxes]]&gt;Table1[[#This Row],[Regular Taxes Owed]],Table1[[#This Row],[AMT Taxes]]&gt;0),Table1[[#This Row],[AMT Taxes]]-Table1[[#This Row],[Regular Taxes Owed]],0)</f>
        <v>0</v>
      </c>
      <c r="X44" s="9">
        <f>Table1[[#This Row],[Extra Taxes From Amt]]+Table1[[#This Row],[Federal Taxes Owed (No AMT)]]</f>
        <v>-1650</v>
      </c>
      <c r="Y44" s="9">
        <f>IF(Table1[[#This Row],[taxable wages]]&gt;obamacare_surcharge_amount,obamacare_surcharge_percent*(Table1[[#This Row],[taxable wages]]-obamacare_surcharge_amount),0)</f>
        <v>0</v>
      </c>
      <c r="Z44" s="9">
        <f>Table1[[#This Row],[Federal Taxes Owed (Includes AMT)]]+Table1[[#This Row],[Obamacare surcharge premium]]</f>
        <v>-1650</v>
      </c>
      <c r="AA44" s="9">
        <f>Table1[[#This Row],[taxable wages]]-Table1[[#This Row],[Federal Taxes Owed2]]</f>
        <v>5150</v>
      </c>
      <c r="AB44" s="51">
        <f t="shared" si="11"/>
        <v>-0.6</v>
      </c>
      <c r="AC44" s="41"/>
      <c r="AD44" s="13"/>
      <c r="AE44" s="13"/>
    </row>
    <row r="45" spans="1:43" x14ac:dyDescent="0.3">
      <c r="B45" s="41">
        <f t="shared" si="12"/>
        <v>4000</v>
      </c>
      <c r="C45" s="1">
        <f>Table1[[#This Row],[taxable wages]]</f>
        <v>4000</v>
      </c>
      <c r="D45" s="1">
        <f>Table1[[#This Row],[taxable wages]]+interest+dividends+short_term_capital_gains+long_term_capital_gains</f>
        <v>4000</v>
      </c>
      <c r="E45" s="1">
        <f>MAX(Table1[[#This Row],[earned income for EITC]:[Agi For Eitc Calc]])</f>
        <v>4000</v>
      </c>
      <c r="F45" s="1">
        <f>Table1[[#This Row],[taxable wages]]+interest+dividends+short_term_capital_gains+long_term_capital_gains-(trad_ira_contributions+MIN(student_loan_interest_cap,student_loan_interest))</f>
        <v>4000</v>
      </c>
      <c r="G45" s="1">
        <f t="shared" si="8"/>
        <v>12600</v>
      </c>
      <c r="H45" s="1">
        <f t="shared" si="9"/>
        <v>28350</v>
      </c>
      <c r="I45" s="1">
        <f>MAX(0,Table1[[#This Row],[Agi]]-Table1[[#This Row],[Exemptions]]-Table1[[#This Row],[Effective Deductions]])</f>
        <v>0</v>
      </c>
      <c r="J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5" s="1">
        <f t="shared" si="10"/>
        <v>5000</v>
      </c>
      <c r="L45" s="1">
        <f>IF(Table1[[#This Row],[Agi]]&gt;ctc_phase_out_begins,ctc_phase_out_rate*(Table1[[#This Row],[Agi]]-ctc_phase_out_begins),0)</f>
        <v>0</v>
      </c>
      <c r="M45" s="1">
        <f>MAX(Table1[[#This Row],[Child Tax Credit]]-Table1[[#This Row],[Child Tax Credit Phase Out]],0)</f>
        <v>5000</v>
      </c>
      <c r="N45" s="1">
        <f>MAX(Table1[[#This Row],[Regular Taxes Owed]]-Table1[[#This Row],[Effective Child Tax Credit]],0)</f>
        <v>0</v>
      </c>
      <c r="O45" s="1">
        <f>MAX(MIN((Table1[[#This Row],[taxable wages]]-3000)*0.15,1000*num_kids_16_younger),0)</f>
        <v>150</v>
      </c>
      <c r="P45" s="9">
        <f>IF(Table1[[#This Row],[Effective Child Tax Credit]]&gt;Table1[[#This Row],[Regular Taxes Owed]],Table1[[#This Row],[Additional Child Tax Credit ]]-Table1[[#This Row],[Regular Taxes Owed]],0)</f>
        <v>150</v>
      </c>
      <c r="Q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1800</v>
      </c>
      <c r="R45" s="1">
        <f>Table1[[#This Row],[Effective Additional Child Tax Credit]]+Table1[[#This Row],[Eitc]]</f>
        <v>1950</v>
      </c>
      <c r="S45" s="9">
        <f>Table1[[#This Row],[Regular Taxes Owed - Effective Child Tax Credit]]-Table1[[#This Row],[Total Credits]]</f>
        <v>-1950</v>
      </c>
      <c r="T45" s="9">
        <f>Table1[[#This Row],[taxable wages]]+interest+dividends+short_term_capital_gains+long_term_capital_gains-(charitable_donations+mortgage_interest)</f>
        <v>4000</v>
      </c>
      <c r="U45" s="9">
        <f>MAX(amt_exemption-amt_exemption_phase_out_rate*MAX(Table1[[#This Row],[taxable wages]]-amt_phase_out_begins,0),0)</f>
        <v>83800</v>
      </c>
      <c r="V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5" s="1">
        <f>IF(AND(Table1[[#This Row],[AMT Taxes]]&gt;Table1[[#This Row],[Regular Taxes Owed]],Table1[[#This Row],[AMT Taxes]]&gt;0),Table1[[#This Row],[AMT Taxes]]-Table1[[#This Row],[Regular Taxes Owed]],0)</f>
        <v>0</v>
      </c>
      <c r="X45" s="9">
        <f>Table1[[#This Row],[Extra Taxes From Amt]]+Table1[[#This Row],[Federal Taxes Owed (No AMT)]]</f>
        <v>-1950</v>
      </c>
      <c r="Y45" s="9">
        <f>IF(Table1[[#This Row],[taxable wages]]&gt;obamacare_surcharge_amount,obamacare_surcharge_percent*(Table1[[#This Row],[taxable wages]]-obamacare_surcharge_amount),0)</f>
        <v>0</v>
      </c>
      <c r="Z45" s="9">
        <f>Table1[[#This Row],[Federal Taxes Owed (Includes AMT)]]+Table1[[#This Row],[Obamacare surcharge premium]]</f>
        <v>-1950</v>
      </c>
      <c r="AA45" s="9">
        <f>Table1[[#This Row],[taxable wages]]-Table1[[#This Row],[Federal Taxes Owed2]]</f>
        <v>5950</v>
      </c>
      <c r="AB45" s="51">
        <f t="shared" si="11"/>
        <v>-0.6</v>
      </c>
      <c r="AC45" s="41"/>
      <c r="AD45" s="13"/>
      <c r="AE45" s="13"/>
    </row>
    <row r="46" spans="1:43" x14ac:dyDescent="0.3">
      <c r="B46" s="41">
        <f t="shared" si="12"/>
        <v>4500</v>
      </c>
      <c r="C46" s="1">
        <f>Table1[[#This Row],[taxable wages]]</f>
        <v>4500</v>
      </c>
      <c r="D46" s="1">
        <f>Table1[[#This Row],[taxable wages]]+interest+dividends+short_term_capital_gains+long_term_capital_gains</f>
        <v>4500</v>
      </c>
      <c r="E46" s="1">
        <f>MAX(Table1[[#This Row],[earned income for EITC]:[Agi For Eitc Calc]])</f>
        <v>4500</v>
      </c>
      <c r="F46" s="1">
        <f>Table1[[#This Row],[taxable wages]]+interest+dividends+short_term_capital_gains+long_term_capital_gains-(trad_ira_contributions+MIN(student_loan_interest_cap,student_loan_interest))</f>
        <v>4500</v>
      </c>
      <c r="G46" s="1">
        <f t="shared" si="8"/>
        <v>12600</v>
      </c>
      <c r="H46" s="1">
        <f t="shared" si="9"/>
        <v>28350</v>
      </c>
      <c r="I46" s="1">
        <f>MAX(0,Table1[[#This Row],[Agi]]-Table1[[#This Row],[Exemptions]]-Table1[[#This Row],[Effective Deductions]])</f>
        <v>0</v>
      </c>
      <c r="J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6" s="1">
        <f t="shared" si="10"/>
        <v>5000</v>
      </c>
      <c r="L46" s="1">
        <f>IF(Table1[[#This Row],[Agi]]&gt;ctc_phase_out_begins,ctc_phase_out_rate*(Table1[[#This Row],[Agi]]-ctc_phase_out_begins),0)</f>
        <v>0</v>
      </c>
      <c r="M46" s="1">
        <f>MAX(Table1[[#This Row],[Child Tax Credit]]-Table1[[#This Row],[Child Tax Credit Phase Out]],0)</f>
        <v>5000</v>
      </c>
      <c r="N46" s="1">
        <f>MAX(Table1[[#This Row],[Regular Taxes Owed]]-Table1[[#This Row],[Effective Child Tax Credit]],0)</f>
        <v>0</v>
      </c>
      <c r="O46" s="1">
        <f>MAX(MIN((Table1[[#This Row],[taxable wages]]-3000)*0.15,1000*num_kids_16_younger),0)</f>
        <v>225</v>
      </c>
      <c r="P46" s="9">
        <f>IF(Table1[[#This Row],[Effective Child Tax Credit]]&gt;Table1[[#This Row],[Regular Taxes Owed]],Table1[[#This Row],[Additional Child Tax Credit ]]-Table1[[#This Row],[Regular Taxes Owed]],0)</f>
        <v>225</v>
      </c>
      <c r="Q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2025</v>
      </c>
      <c r="R46" s="1">
        <f>Table1[[#This Row],[Effective Additional Child Tax Credit]]+Table1[[#This Row],[Eitc]]</f>
        <v>2250</v>
      </c>
      <c r="S46" s="9">
        <f>Table1[[#This Row],[Regular Taxes Owed - Effective Child Tax Credit]]-Table1[[#This Row],[Total Credits]]</f>
        <v>-2250</v>
      </c>
      <c r="T46" s="9">
        <f>Table1[[#This Row],[taxable wages]]+interest+dividends+short_term_capital_gains+long_term_capital_gains-(charitable_donations+mortgage_interest)</f>
        <v>4500</v>
      </c>
      <c r="U46" s="9">
        <f>MAX(amt_exemption-amt_exemption_phase_out_rate*MAX(Table1[[#This Row],[taxable wages]]-amt_phase_out_begins,0),0)</f>
        <v>83800</v>
      </c>
      <c r="V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6" s="1">
        <f>IF(AND(Table1[[#This Row],[AMT Taxes]]&gt;Table1[[#This Row],[Regular Taxes Owed]],Table1[[#This Row],[AMT Taxes]]&gt;0),Table1[[#This Row],[AMT Taxes]]-Table1[[#This Row],[Regular Taxes Owed]],0)</f>
        <v>0</v>
      </c>
      <c r="X46" s="9">
        <f>Table1[[#This Row],[Extra Taxes From Amt]]+Table1[[#This Row],[Federal Taxes Owed (No AMT)]]</f>
        <v>-2250</v>
      </c>
      <c r="Y46" s="9">
        <f>IF(Table1[[#This Row],[taxable wages]]&gt;obamacare_surcharge_amount,obamacare_surcharge_percent*(Table1[[#This Row],[taxable wages]]-obamacare_surcharge_amount),0)</f>
        <v>0</v>
      </c>
      <c r="Z46" s="9">
        <f>Table1[[#This Row],[Federal Taxes Owed (Includes AMT)]]+Table1[[#This Row],[Obamacare surcharge premium]]</f>
        <v>-2250</v>
      </c>
      <c r="AA46" s="9">
        <f>Table1[[#This Row],[taxable wages]]-Table1[[#This Row],[Federal Taxes Owed2]]</f>
        <v>6750</v>
      </c>
      <c r="AB46" s="51">
        <f t="shared" si="11"/>
        <v>-0.6</v>
      </c>
      <c r="AC46" s="41"/>
      <c r="AD46" s="13"/>
      <c r="AE46" s="13"/>
    </row>
    <row r="47" spans="1:43" x14ac:dyDescent="0.3">
      <c r="B47" s="41">
        <f t="shared" si="12"/>
        <v>5000</v>
      </c>
      <c r="C47" s="1">
        <f>Table1[[#This Row],[taxable wages]]</f>
        <v>5000</v>
      </c>
      <c r="D47" s="1">
        <f>Table1[[#This Row],[taxable wages]]+interest+dividends+short_term_capital_gains+long_term_capital_gains</f>
        <v>5000</v>
      </c>
      <c r="E47" s="1">
        <f>MAX(Table1[[#This Row],[earned income for EITC]:[Agi For Eitc Calc]])</f>
        <v>5000</v>
      </c>
      <c r="F47" s="1">
        <f>Table1[[#This Row],[taxable wages]]+interest+dividends+short_term_capital_gains+long_term_capital_gains-(trad_ira_contributions+MIN(student_loan_interest_cap,student_loan_interest))</f>
        <v>5000</v>
      </c>
      <c r="G47" s="1">
        <f t="shared" si="8"/>
        <v>12600</v>
      </c>
      <c r="H47" s="1">
        <f t="shared" si="9"/>
        <v>28350</v>
      </c>
      <c r="I47" s="1">
        <f>MAX(0,Table1[[#This Row],[Agi]]-Table1[[#This Row],[Exemptions]]-Table1[[#This Row],[Effective Deductions]])</f>
        <v>0</v>
      </c>
      <c r="J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7" s="1">
        <f t="shared" si="10"/>
        <v>5000</v>
      </c>
      <c r="L47" s="1">
        <f>IF(Table1[[#This Row],[Agi]]&gt;ctc_phase_out_begins,ctc_phase_out_rate*(Table1[[#This Row],[Agi]]-ctc_phase_out_begins),0)</f>
        <v>0</v>
      </c>
      <c r="M47" s="1">
        <f>MAX(Table1[[#This Row],[Child Tax Credit]]-Table1[[#This Row],[Child Tax Credit Phase Out]],0)</f>
        <v>5000</v>
      </c>
      <c r="N47" s="1">
        <f>MAX(Table1[[#This Row],[Regular Taxes Owed]]-Table1[[#This Row],[Effective Child Tax Credit]],0)</f>
        <v>0</v>
      </c>
      <c r="O47" s="1">
        <f>MAX(MIN((Table1[[#This Row],[taxable wages]]-3000)*0.15,1000*num_kids_16_younger),0)</f>
        <v>300</v>
      </c>
      <c r="P47" s="9">
        <f>IF(Table1[[#This Row],[Effective Child Tax Credit]]&gt;Table1[[#This Row],[Regular Taxes Owed]],Table1[[#This Row],[Additional Child Tax Credit ]]-Table1[[#This Row],[Regular Taxes Owed]],0)</f>
        <v>300</v>
      </c>
      <c r="Q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2250</v>
      </c>
      <c r="R47" s="1">
        <f>Table1[[#This Row],[Effective Additional Child Tax Credit]]+Table1[[#This Row],[Eitc]]</f>
        <v>2550</v>
      </c>
      <c r="S47" s="9">
        <f>Table1[[#This Row],[Regular Taxes Owed - Effective Child Tax Credit]]-Table1[[#This Row],[Total Credits]]</f>
        <v>-2550</v>
      </c>
      <c r="T47" s="9">
        <f>Table1[[#This Row],[taxable wages]]+interest+dividends+short_term_capital_gains+long_term_capital_gains-(charitable_donations+mortgage_interest)</f>
        <v>5000</v>
      </c>
      <c r="U47" s="9">
        <f>MAX(amt_exemption-amt_exemption_phase_out_rate*MAX(Table1[[#This Row],[taxable wages]]-amt_phase_out_begins,0),0)</f>
        <v>83800</v>
      </c>
      <c r="V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7" s="1">
        <f>IF(AND(Table1[[#This Row],[AMT Taxes]]&gt;Table1[[#This Row],[Regular Taxes Owed]],Table1[[#This Row],[AMT Taxes]]&gt;0),Table1[[#This Row],[AMT Taxes]]-Table1[[#This Row],[Regular Taxes Owed]],0)</f>
        <v>0</v>
      </c>
      <c r="X47" s="9">
        <f>Table1[[#This Row],[Extra Taxes From Amt]]+Table1[[#This Row],[Federal Taxes Owed (No AMT)]]</f>
        <v>-2550</v>
      </c>
      <c r="Y47" s="9">
        <f>IF(Table1[[#This Row],[taxable wages]]&gt;obamacare_surcharge_amount,obamacare_surcharge_percent*(Table1[[#This Row],[taxable wages]]-obamacare_surcharge_amount),0)</f>
        <v>0</v>
      </c>
      <c r="Z47" s="9">
        <f>Table1[[#This Row],[Federal Taxes Owed (Includes AMT)]]+Table1[[#This Row],[Obamacare surcharge premium]]</f>
        <v>-2550</v>
      </c>
      <c r="AA47" s="9">
        <f>Table1[[#This Row],[taxable wages]]-Table1[[#This Row],[Federal Taxes Owed2]]</f>
        <v>7550</v>
      </c>
      <c r="AB47" s="51">
        <f t="shared" si="11"/>
        <v>-0.6</v>
      </c>
      <c r="AC47" s="41"/>
      <c r="AD47" s="13"/>
      <c r="AE47" s="13"/>
    </row>
    <row r="48" spans="1:43" x14ac:dyDescent="0.3">
      <c r="B48" s="41">
        <f t="shared" si="12"/>
        <v>5500</v>
      </c>
      <c r="C48" s="1">
        <f>Table1[[#This Row],[taxable wages]]</f>
        <v>5500</v>
      </c>
      <c r="D48" s="1">
        <f>Table1[[#This Row],[taxable wages]]+interest+dividends+short_term_capital_gains+long_term_capital_gains</f>
        <v>5500</v>
      </c>
      <c r="E48" s="1">
        <f>MAX(Table1[[#This Row],[earned income for EITC]:[Agi For Eitc Calc]])</f>
        <v>5500</v>
      </c>
      <c r="F48" s="1">
        <f>Table1[[#This Row],[taxable wages]]+interest+dividends+short_term_capital_gains+long_term_capital_gains-(trad_ira_contributions+MIN(student_loan_interest_cap,student_loan_interest))</f>
        <v>5500</v>
      </c>
      <c r="G48" s="1">
        <f t="shared" si="8"/>
        <v>12600</v>
      </c>
      <c r="H48" s="1">
        <f t="shared" si="9"/>
        <v>28350</v>
      </c>
      <c r="I48" s="1">
        <f>MAX(0,Table1[[#This Row],[Agi]]-Table1[[#This Row],[Exemptions]]-Table1[[#This Row],[Effective Deductions]])</f>
        <v>0</v>
      </c>
      <c r="J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8" s="1">
        <f t="shared" si="10"/>
        <v>5000</v>
      </c>
      <c r="L48" s="1">
        <f>IF(Table1[[#This Row],[Agi]]&gt;ctc_phase_out_begins,ctc_phase_out_rate*(Table1[[#This Row],[Agi]]-ctc_phase_out_begins),0)</f>
        <v>0</v>
      </c>
      <c r="M48" s="1">
        <f>MAX(Table1[[#This Row],[Child Tax Credit]]-Table1[[#This Row],[Child Tax Credit Phase Out]],0)</f>
        <v>5000</v>
      </c>
      <c r="N48" s="1">
        <f>MAX(Table1[[#This Row],[Regular Taxes Owed]]-Table1[[#This Row],[Effective Child Tax Credit]],0)</f>
        <v>0</v>
      </c>
      <c r="O48" s="1">
        <f>MAX(MIN((Table1[[#This Row],[taxable wages]]-3000)*0.15,1000*num_kids_16_younger),0)</f>
        <v>375</v>
      </c>
      <c r="P48" s="9">
        <f>IF(Table1[[#This Row],[Effective Child Tax Credit]]&gt;Table1[[#This Row],[Regular Taxes Owed]],Table1[[#This Row],[Additional Child Tax Credit ]]-Table1[[#This Row],[Regular Taxes Owed]],0)</f>
        <v>375</v>
      </c>
      <c r="Q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2475</v>
      </c>
      <c r="R48" s="1">
        <f>Table1[[#This Row],[Effective Additional Child Tax Credit]]+Table1[[#This Row],[Eitc]]</f>
        <v>2850</v>
      </c>
      <c r="S48" s="9">
        <f>Table1[[#This Row],[Regular Taxes Owed - Effective Child Tax Credit]]-Table1[[#This Row],[Total Credits]]</f>
        <v>-2850</v>
      </c>
      <c r="T48" s="9">
        <f>Table1[[#This Row],[taxable wages]]+interest+dividends+short_term_capital_gains+long_term_capital_gains-(charitable_donations+mortgage_interest)</f>
        <v>5500</v>
      </c>
      <c r="U48" s="9">
        <f>MAX(amt_exemption-amt_exemption_phase_out_rate*MAX(Table1[[#This Row],[taxable wages]]-amt_phase_out_begins,0),0)</f>
        <v>83800</v>
      </c>
      <c r="V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8" s="1">
        <f>IF(AND(Table1[[#This Row],[AMT Taxes]]&gt;Table1[[#This Row],[Regular Taxes Owed]],Table1[[#This Row],[AMT Taxes]]&gt;0),Table1[[#This Row],[AMT Taxes]]-Table1[[#This Row],[Regular Taxes Owed]],0)</f>
        <v>0</v>
      </c>
      <c r="X48" s="9">
        <f>Table1[[#This Row],[Extra Taxes From Amt]]+Table1[[#This Row],[Federal Taxes Owed (No AMT)]]</f>
        <v>-2850</v>
      </c>
      <c r="Y48" s="9">
        <f>IF(Table1[[#This Row],[taxable wages]]&gt;obamacare_surcharge_amount,obamacare_surcharge_percent*(Table1[[#This Row],[taxable wages]]-obamacare_surcharge_amount),0)</f>
        <v>0</v>
      </c>
      <c r="Z48" s="9">
        <f>Table1[[#This Row],[Federal Taxes Owed (Includes AMT)]]+Table1[[#This Row],[Obamacare surcharge premium]]</f>
        <v>-2850</v>
      </c>
      <c r="AA48" s="9">
        <f>Table1[[#This Row],[taxable wages]]-Table1[[#This Row],[Federal Taxes Owed2]]</f>
        <v>8350</v>
      </c>
      <c r="AB48" s="51">
        <f t="shared" si="11"/>
        <v>-0.6</v>
      </c>
      <c r="AC48" s="41"/>
      <c r="AD48" s="13"/>
      <c r="AE48" s="13"/>
    </row>
    <row r="49" spans="2:37" x14ac:dyDescent="0.3">
      <c r="B49" s="41">
        <f t="shared" si="12"/>
        <v>6000</v>
      </c>
      <c r="C49" s="1">
        <f>Table1[[#This Row],[taxable wages]]</f>
        <v>6000</v>
      </c>
      <c r="D49" s="1">
        <f>Table1[[#This Row],[taxable wages]]+interest+dividends+short_term_capital_gains+long_term_capital_gains</f>
        <v>6000</v>
      </c>
      <c r="E49" s="1">
        <f>MAX(Table1[[#This Row],[earned income for EITC]:[Agi For Eitc Calc]])</f>
        <v>6000</v>
      </c>
      <c r="F49" s="1">
        <f>Table1[[#This Row],[taxable wages]]+interest+dividends+short_term_capital_gains+long_term_capital_gains-(trad_ira_contributions+MIN(student_loan_interest_cap,student_loan_interest))</f>
        <v>6000</v>
      </c>
      <c r="G49" s="1">
        <f t="shared" si="8"/>
        <v>12600</v>
      </c>
      <c r="H49" s="1">
        <f t="shared" si="9"/>
        <v>28350</v>
      </c>
      <c r="I49" s="1">
        <f>MAX(0,Table1[[#This Row],[Agi]]-Table1[[#This Row],[Exemptions]]-Table1[[#This Row],[Effective Deductions]])</f>
        <v>0</v>
      </c>
      <c r="J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49" s="1">
        <f t="shared" si="10"/>
        <v>5000</v>
      </c>
      <c r="L49" s="1">
        <f>IF(Table1[[#This Row],[Agi]]&gt;ctc_phase_out_begins,ctc_phase_out_rate*(Table1[[#This Row],[Agi]]-ctc_phase_out_begins),0)</f>
        <v>0</v>
      </c>
      <c r="M49" s="1">
        <f>MAX(Table1[[#This Row],[Child Tax Credit]]-Table1[[#This Row],[Child Tax Credit Phase Out]],0)</f>
        <v>5000</v>
      </c>
      <c r="N49" s="1">
        <f>MAX(Table1[[#This Row],[Regular Taxes Owed]]-Table1[[#This Row],[Effective Child Tax Credit]],0)</f>
        <v>0</v>
      </c>
      <c r="O49" s="1">
        <f>MAX(MIN((Table1[[#This Row],[taxable wages]]-3000)*0.15,1000*num_kids_16_younger),0)</f>
        <v>450</v>
      </c>
      <c r="P49" s="9">
        <f>IF(Table1[[#This Row],[Effective Child Tax Credit]]&gt;Table1[[#This Row],[Regular Taxes Owed]],Table1[[#This Row],[Additional Child Tax Credit ]]-Table1[[#This Row],[Regular Taxes Owed]],0)</f>
        <v>450</v>
      </c>
      <c r="Q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2700</v>
      </c>
      <c r="R49" s="1">
        <f>Table1[[#This Row],[Effective Additional Child Tax Credit]]+Table1[[#This Row],[Eitc]]</f>
        <v>3150</v>
      </c>
      <c r="S49" s="9">
        <f>Table1[[#This Row],[Regular Taxes Owed - Effective Child Tax Credit]]-Table1[[#This Row],[Total Credits]]</f>
        <v>-3150</v>
      </c>
      <c r="T49" s="9">
        <f>Table1[[#This Row],[taxable wages]]+interest+dividends+short_term_capital_gains+long_term_capital_gains-(charitable_donations+mortgage_interest)</f>
        <v>6000</v>
      </c>
      <c r="U49" s="9">
        <f>MAX(amt_exemption-amt_exemption_phase_out_rate*MAX(Table1[[#This Row],[taxable wages]]-amt_phase_out_begins,0),0)</f>
        <v>83800</v>
      </c>
      <c r="V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49" s="1">
        <f>IF(AND(Table1[[#This Row],[AMT Taxes]]&gt;Table1[[#This Row],[Regular Taxes Owed]],Table1[[#This Row],[AMT Taxes]]&gt;0),Table1[[#This Row],[AMT Taxes]]-Table1[[#This Row],[Regular Taxes Owed]],0)</f>
        <v>0</v>
      </c>
      <c r="X49" s="9">
        <f>Table1[[#This Row],[Extra Taxes From Amt]]+Table1[[#This Row],[Federal Taxes Owed (No AMT)]]</f>
        <v>-3150</v>
      </c>
      <c r="Y49" s="9">
        <f>IF(Table1[[#This Row],[taxable wages]]&gt;obamacare_surcharge_amount,obamacare_surcharge_percent*(Table1[[#This Row],[taxable wages]]-obamacare_surcharge_amount),0)</f>
        <v>0</v>
      </c>
      <c r="Z49" s="9">
        <f>Table1[[#This Row],[Federal Taxes Owed (Includes AMT)]]+Table1[[#This Row],[Obamacare surcharge premium]]</f>
        <v>-3150</v>
      </c>
      <c r="AA49" s="9">
        <f>Table1[[#This Row],[taxable wages]]-Table1[[#This Row],[Federal Taxes Owed2]]</f>
        <v>9150</v>
      </c>
      <c r="AB49" s="51">
        <f t="shared" si="11"/>
        <v>-0.6</v>
      </c>
      <c r="AC49" s="41"/>
      <c r="AD49" s="13"/>
      <c r="AE49" s="13"/>
    </row>
    <row r="50" spans="2:37" x14ac:dyDescent="0.3">
      <c r="B50" s="41">
        <f t="shared" si="12"/>
        <v>6500</v>
      </c>
      <c r="C50" s="1">
        <f>Table1[[#This Row],[taxable wages]]</f>
        <v>6500</v>
      </c>
      <c r="D50" s="1">
        <f>Table1[[#This Row],[taxable wages]]+interest+dividends+short_term_capital_gains+long_term_capital_gains</f>
        <v>6500</v>
      </c>
      <c r="E50" s="1">
        <f>MAX(Table1[[#This Row],[earned income for EITC]:[Agi For Eitc Calc]])</f>
        <v>6500</v>
      </c>
      <c r="F50" s="1">
        <f>Table1[[#This Row],[taxable wages]]+interest+dividends+short_term_capital_gains+long_term_capital_gains-(trad_ira_contributions+MIN(student_loan_interest_cap,student_loan_interest))</f>
        <v>6500</v>
      </c>
      <c r="G50" s="1">
        <f t="shared" si="8"/>
        <v>12600</v>
      </c>
      <c r="H50" s="1">
        <f t="shared" si="9"/>
        <v>28350</v>
      </c>
      <c r="I50" s="1">
        <f>MAX(0,Table1[[#This Row],[Agi]]-Table1[[#This Row],[Exemptions]]-Table1[[#This Row],[Effective Deductions]])</f>
        <v>0</v>
      </c>
      <c r="J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0" s="1">
        <f t="shared" si="10"/>
        <v>5000</v>
      </c>
      <c r="L50" s="1">
        <f>IF(Table1[[#This Row],[Agi]]&gt;ctc_phase_out_begins,ctc_phase_out_rate*(Table1[[#This Row],[Agi]]-ctc_phase_out_begins),0)</f>
        <v>0</v>
      </c>
      <c r="M50" s="1">
        <f>MAX(Table1[[#This Row],[Child Tax Credit]]-Table1[[#This Row],[Child Tax Credit Phase Out]],0)</f>
        <v>5000</v>
      </c>
      <c r="N50" s="1">
        <f>MAX(Table1[[#This Row],[Regular Taxes Owed]]-Table1[[#This Row],[Effective Child Tax Credit]],0)</f>
        <v>0</v>
      </c>
      <c r="O50" s="1">
        <f>MAX(MIN((Table1[[#This Row],[taxable wages]]-3000)*0.15,1000*num_kids_16_younger),0)</f>
        <v>525</v>
      </c>
      <c r="P50" s="9">
        <f>IF(Table1[[#This Row],[Effective Child Tax Credit]]&gt;Table1[[#This Row],[Regular Taxes Owed]],Table1[[#This Row],[Additional Child Tax Credit ]]-Table1[[#This Row],[Regular Taxes Owed]],0)</f>
        <v>525</v>
      </c>
      <c r="Q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2925</v>
      </c>
      <c r="R50" s="1">
        <f>Table1[[#This Row],[Effective Additional Child Tax Credit]]+Table1[[#This Row],[Eitc]]</f>
        <v>3450</v>
      </c>
      <c r="S50" s="9">
        <f>Table1[[#This Row],[Regular Taxes Owed - Effective Child Tax Credit]]-Table1[[#This Row],[Total Credits]]</f>
        <v>-3450</v>
      </c>
      <c r="T50" s="9">
        <f>Table1[[#This Row],[taxable wages]]+interest+dividends+short_term_capital_gains+long_term_capital_gains-(charitable_donations+mortgage_interest)</f>
        <v>6500</v>
      </c>
      <c r="U50" s="9">
        <f>MAX(amt_exemption-amt_exemption_phase_out_rate*MAX(Table1[[#This Row],[taxable wages]]-amt_phase_out_begins,0),0)</f>
        <v>83800</v>
      </c>
      <c r="V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0" s="1">
        <f>IF(AND(Table1[[#This Row],[AMT Taxes]]&gt;Table1[[#This Row],[Regular Taxes Owed]],Table1[[#This Row],[AMT Taxes]]&gt;0),Table1[[#This Row],[AMT Taxes]]-Table1[[#This Row],[Regular Taxes Owed]],0)</f>
        <v>0</v>
      </c>
      <c r="X50" s="9">
        <f>Table1[[#This Row],[Extra Taxes From Amt]]+Table1[[#This Row],[Federal Taxes Owed (No AMT)]]</f>
        <v>-3450</v>
      </c>
      <c r="Y50" s="9">
        <f>IF(Table1[[#This Row],[taxable wages]]&gt;obamacare_surcharge_amount,obamacare_surcharge_percent*(Table1[[#This Row],[taxable wages]]-obamacare_surcharge_amount),0)</f>
        <v>0</v>
      </c>
      <c r="Z50" s="9">
        <f>Table1[[#This Row],[Federal Taxes Owed (Includes AMT)]]+Table1[[#This Row],[Obamacare surcharge premium]]</f>
        <v>-3450</v>
      </c>
      <c r="AA50" s="9">
        <f>Table1[[#This Row],[taxable wages]]-Table1[[#This Row],[Federal Taxes Owed2]]</f>
        <v>9950</v>
      </c>
      <c r="AB50" s="51">
        <f t="shared" si="11"/>
        <v>-0.6</v>
      </c>
      <c r="AC50" s="41"/>
      <c r="AD50" s="13"/>
      <c r="AE50" s="13"/>
      <c r="AJ50" s="4"/>
    </row>
    <row r="51" spans="2:37" x14ac:dyDescent="0.3">
      <c r="B51" s="41">
        <f t="shared" si="12"/>
        <v>7000</v>
      </c>
      <c r="C51" s="1">
        <f>Table1[[#This Row],[taxable wages]]</f>
        <v>7000</v>
      </c>
      <c r="D51" s="1">
        <f>Table1[[#This Row],[taxable wages]]+interest+dividends+short_term_capital_gains+long_term_capital_gains</f>
        <v>7000</v>
      </c>
      <c r="E51" s="1">
        <f>MAX(Table1[[#This Row],[earned income for EITC]:[Agi For Eitc Calc]])</f>
        <v>7000</v>
      </c>
      <c r="F51" s="1">
        <f>Table1[[#This Row],[taxable wages]]+interest+dividends+short_term_capital_gains+long_term_capital_gains-(trad_ira_contributions+MIN(student_loan_interest_cap,student_loan_interest))</f>
        <v>7000</v>
      </c>
      <c r="G51" s="1">
        <f t="shared" si="8"/>
        <v>12600</v>
      </c>
      <c r="H51" s="1">
        <f t="shared" si="9"/>
        <v>28350</v>
      </c>
      <c r="I51" s="1">
        <f>MAX(0,Table1[[#This Row],[Agi]]-Table1[[#This Row],[Exemptions]]-Table1[[#This Row],[Effective Deductions]])</f>
        <v>0</v>
      </c>
      <c r="J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1" s="1">
        <f t="shared" si="10"/>
        <v>5000</v>
      </c>
      <c r="L51" s="1">
        <f>IF(Table1[[#This Row],[Agi]]&gt;ctc_phase_out_begins,ctc_phase_out_rate*(Table1[[#This Row],[Agi]]-ctc_phase_out_begins),0)</f>
        <v>0</v>
      </c>
      <c r="M51" s="1">
        <f>MAX(Table1[[#This Row],[Child Tax Credit]]-Table1[[#This Row],[Child Tax Credit Phase Out]],0)</f>
        <v>5000</v>
      </c>
      <c r="N51" s="1">
        <f>MAX(Table1[[#This Row],[Regular Taxes Owed]]-Table1[[#This Row],[Effective Child Tax Credit]],0)</f>
        <v>0</v>
      </c>
      <c r="O51" s="1">
        <f>MAX(MIN((Table1[[#This Row],[taxable wages]]-3000)*0.15,1000*num_kids_16_younger),0)</f>
        <v>600</v>
      </c>
      <c r="P51" s="9">
        <f>IF(Table1[[#This Row],[Effective Child Tax Credit]]&gt;Table1[[#This Row],[Regular Taxes Owed]],Table1[[#This Row],[Additional Child Tax Credit ]]-Table1[[#This Row],[Regular Taxes Owed]],0)</f>
        <v>600</v>
      </c>
      <c r="Q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3150</v>
      </c>
      <c r="R51" s="1">
        <f>Table1[[#This Row],[Effective Additional Child Tax Credit]]+Table1[[#This Row],[Eitc]]</f>
        <v>3750</v>
      </c>
      <c r="S51" s="9">
        <f>Table1[[#This Row],[Regular Taxes Owed - Effective Child Tax Credit]]-Table1[[#This Row],[Total Credits]]</f>
        <v>-3750</v>
      </c>
      <c r="T51" s="9">
        <f>Table1[[#This Row],[taxable wages]]+interest+dividends+short_term_capital_gains+long_term_capital_gains-(charitable_donations+mortgage_interest)</f>
        <v>7000</v>
      </c>
      <c r="U51" s="9">
        <f>MAX(amt_exemption-amt_exemption_phase_out_rate*MAX(Table1[[#This Row],[taxable wages]]-amt_phase_out_begins,0),0)</f>
        <v>83800</v>
      </c>
      <c r="V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1" s="1">
        <f>IF(AND(Table1[[#This Row],[AMT Taxes]]&gt;Table1[[#This Row],[Regular Taxes Owed]],Table1[[#This Row],[AMT Taxes]]&gt;0),Table1[[#This Row],[AMT Taxes]]-Table1[[#This Row],[Regular Taxes Owed]],0)</f>
        <v>0</v>
      </c>
      <c r="X51" s="9">
        <f>Table1[[#This Row],[Extra Taxes From Amt]]+Table1[[#This Row],[Federal Taxes Owed (No AMT)]]</f>
        <v>-3750</v>
      </c>
      <c r="Y51" s="9">
        <f>IF(Table1[[#This Row],[taxable wages]]&gt;obamacare_surcharge_amount,obamacare_surcharge_percent*(Table1[[#This Row],[taxable wages]]-obamacare_surcharge_amount),0)</f>
        <v>0</v>
      </c>
      <c r="Z51" s="9">
        <f>Table1[[#This Row],[Federal Taxes Owed (Includes AMT)]]+Table1[[#This Row],[Obamacare surcharge premium]]</f>
        <v>-3750</v>
      </c>
      <c r="AA51" s="9">
        <f>Table1[[#This Row],[taxable wages]]-Table1[[#This Row],[Federal Taxes Owed2]]</f>
        <v>10750</v>
      </c>
      <c r="AB51" s="51">
        <f t="shared" si="11"/>
        <v>-0.6</v>
      </c>
      <c r="AC51" s="41"/>
      <c r="AD51" s="13"/>
      <c r="AE51" s="13"/>
    </row>
    <row r="52" spans="2:37" x14ac:dyDescent="0.3">
      <c r="B52" s="41">
        <f t="shared" si="12"/>
        <v>7500</v>
      </c>
      <c r="C52" s="1">
        <f>Table1[[#This Row],[taxable wages]]</f>
        <v>7500</v>
      </c>
      <c r="D52" s="1">
        <f>Table1[[#This Row],[taxable wages]]+interest+dividends+short_term_capital_gains+long_term_capital_gains</f>
        <v>7500</v>
      </c>
      <c r="E52" s="1">
        <f>MAX(Table1[[#This Row],[earned income for EITC]:[Agi For Eitc Calc]])</f>
        <v>7500</v>
      </c>
      <c r="F52" s="1">
        <f>Table1[[#This Row],[taxable wages]]+interest+dividends+short_term_capital_gains+long_term_capital_gains-(trad_ira_contributions+MIN(student_loan_interest_cap,student_loan_interest))</f>
        <v>7500</v>
      </c>
      <c r="G52" s="1">
        <f t="shared" si="8"/>
        <v>12600</v>
      </c>
      <c r="H52" s="1">
        <f t="shared" si="9"/>
        <v>28350</v>
      </c>
      <c r="I52" s="1">
        <f>MAX(0,Table1[[#This Row],[Agi]]-Table1[[#This Row],[Exemptions]]-Table1[[#This Row],[Effective Deductions]])</f>
        <v>0</v>
      </c>
      <c r="J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2" s="1">
        <f t="shared" si="10"/>
        <v>5000</v>
      </c>
      <c r="L52" s="1">
        <f>IF(Table1[[#This Row],[Agi]]&gt;ctc_phase_out_begins,ctc_phase_out_rate*(Table1[[#This Row],[Agi]]-ctc_phase_out_begins),0)</f>
        <v>0</v>
      </c>
      <c r="M52" s="1">
        <f>MAX(Table1[[#This Row],[Child Tax Credit]]-Table1[[#This Row],[Child Tax Credit Phase Out]],0)</f>
        <v>5000</v>
      </c>
      <c r="N52" s="1">
        <f>MAX(Table1[[#This Row],[Regular Taxes Owed]]-Table1[[#This Row],[Effective Child Tax Credit]],0)</f>
        <v>0</v>
      </c>
      <c r="O52" s="1">
        <f>MAX(MIN((Table1[[#This Row],[taxable wages]]-3000)*0.15,1000*num_kids_16_younger),0)</f>
        <v>675</v>
      </c>
      <c r="P52" s="9">
        <f>IF(Table1[[#This Row],[Effective Child Tax Credit]]&gt;Table1[[#This Row],[Regular Taxes Owed]],Table1[[#This Row],[Additional Child Tax Credit ]]-Table1[[#This Row],[Regular Taxes Owed]],0)</f>
        <v>675</v>
      </c>
      <c r="Q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3375</v>
      </c>
      <c r="R52" s="1">
        <f>Table1[[#This Row],[Effective Additional Child Tax Credit]]+Table1[[#This Row],[Eitc]]</f>
        <v>4050</v>
      </c>
      <c r="S52" s="9">
        <f>Table1[[#This Row],[Regular Taxes Owed - Effective Child Tax Credit]]-Table1[[#This Row],[Total Credits]]</f>
        <v>-4050</v>
      </c>
      <c r="T52" s="9">
        <f>Table1[[#This Row],[taxable wages]]+interest+dividends+short_term_capital_gains+long_term_capital_gains-(charitable_donations+mortgage_interest)</f>
        <v>7500</v>
      </c>
      <c r="U52" s="9">
        <f>MAX(amt_exemption-amt_exemption_phase_out_rate*MAX(Table1[[#This Row],[taxable wages]]-amt_phase_out_begins,0),0)</f>
        <v>83800</v>
      </c>
      <c r="V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2" s="1">
        <f>IF(AND(Table1[[#This Row],[AMT Taxes]]&gt;Table1[[#This Row],[Regular Taxes Owed]],Table1[[#This Row],[AMT Taxes]]&gt;0),Table1[[#This Row],[AMT Taxes]]-Table1[[#This Row],[Regular Taxes Owed]],0)</f>
        <v>0</v>
      </c>
      <c r="X52" s="9">
        <f>Table1[[#This Row],[Extra Taxes From Amt]]+Table1[[#This Row],[Federal Taxes Owed (No AMT)]]</f>
        <v>-4050</v>
      </c>
      <c r="Y52" s="9">
        <f>IF(Table1[[#This Row],[taxable wages]]&gt;obamacare_surcharge_amount,obamacare_surcharge_percent*(Table1[[#This Row],[taxable wages]]-obamacare_surcharge_amount),0)</f>
        <v>0</v>
      </c>
      <c r="Z52" s="9">
        <f>Table1[[#This Row],[Federal Taxes Owed (Includes AMT)]]+Table1[[#This Row],[Obamacare surcharge premium]]</f>
        <v>-4050</v>
      </c>
      <c r="AA52" s="9">
        <f>Table1[[#This Row],[taxable wages]]-Table1[[#This Row],[Federal Taxes Owed2]]</f>
        <v>11550</v>
      </c>
      <c r="AB52" s="51">
        <f t="shared" si="11"/>
        <v>-0.6</v>
      </c>
      <c r="AC52" s="41"/>
      <c r="AD52" s="13"/>
      <c r="AE52" s="13"/>
    </row>
    <row r="53" spans="2:37" x14ac:dyDescent="0.3">
      <c r="B53" s="41">
        <f t="shared" si="12"/>
        <v>8000</v>
      </c>
      <c r="C53" s="1">
        <f>Table1[[#This Row],[taxable wages]]</f>
        <v>8000</v>
      </c>
      <c r="D53" s="1">
        <f>Table1[[#This Row],[taxable wages]]+interest+dividends+short_term_capital_gains+long_term_capital_gains</f>
        <v>8000</v>
      </c>
      <c r="E53" s="1">
        <f>MAX(Table1[[#This Row],[earned income for EITC]:[Agi For Eitc Calc]])</f>
        <v>8000</v>
      </c>
      <c r="F53" s="1">
        <f>Table1[[#This Row],[taxable wages]]+interest+dividends+short_term_capital_gains+long_term_capital_gains-(trad_ira_contributions+MIN(student_loan_interest_cap,student_loan_interest))</f>
        <v>8000</v>
      </c>
      <c r="G53" s="1">
        <f t="shared" si="8"/>
        <v>12600</v>
      </c>
      <c r="H53" s="1">
        <f t="shared" si="9"/>
        <v>28350</v>
      </c>
      <c r="I53" s="1">
        <f>MAX(0,Table1[[#This Row],[Agi]]-Table1[[#This Row],[Exemptions]]-Table1[[#This Row],[Effective Deductions]])</f>
        <v>0</v>
      </c>
      <c r="J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3" s="1">
        <f t="shared" si="10"/>
        <v>5000</v>
      </c>
      <c r="L53" s="1">
        <f>IF(Table1[[#This Row],[Agi]]&gt;ctc_phase_out_begins,ctc_phase_out_rate*(Table1[[#This Row],[Agi]]-ctc_phase_out_begins),0)</f>
        <v>0</v>
      </c>
      <c r="M53" s="1">
        <f>MAX(Table1[[#This Row],[Child Tax Credit]]-Table1[[#This Row],[Child Tax Credit Phase Out]],0)</f>
        <v>5000</v>
      </c>
      <c r="N53" s="1">
        <f>MAX(Table1[[#This Row],[Regular Taxes Owed]]-Table1[[#This Row],[Effective Child Tax Credit]],0)</f>
        <v>0</v>
      </c>
      <c r="O53" s="1">
        <f>MAX(MIN((Table1[[#This Row],[taxable wages]]-3000)*0.15,1000*num_kids_16_younger),0)</f>
        <v>750</v>
      </c>
      <c r="P53" s="9">
        <f>IF(Table1[[#This Row],[Effective Child Tax Credit]]&gt;Table1[[#This Row],[Regular Taxes Owed]],Table1[[#This Row],[Additional Child Tax Credit ]]-Table1[[#This Row],[Regular Taxes Owed]],0)</f>
        <v>750</v>
      </c>
      <c r="Q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3600</v>
      </c>
      <c r="R53" s="1">
        <f>Table1[[#This Row],[Effective Additional Child Tax Credit]]+Table1[[#This Row],[Eitc]]</f>
        <v>4350</v>
      </c>
      <c r="S53" s="9">
        <f>Table1[[#This Row],[Regular Taxes Owed - Effective Child Tax Credit]]-Table1[[#This Row],[Total Credits]]</f>
        <v>-4350</v>
      </c>
      <c r="T53" s="9">
        <f>Table1[[#This Row],[taxable wages]]+interest+dividends+short_term_capital_gains+long_term_capital_gains-(charitable_donations+mortgage_interest)</f>
        <v>8000</v>
      </c>
      <c r="U53" s="9">
        <f>MAX(amt_exemption-amt_exemption_phase_out_rate*MAX(Table1[[#This Row],[taxable wages]]-amt_phase_out_begins,0),0)</f>
        <v>83800</v>
      </c>
      <c r="V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3" s="1">
        <f>IF(AND(Table1[[#This Row],[AMT Taxes]]&gt;Table1[[#This Row],[Regular Taxes Owed]],Table1[[#This Row],[AMT Taxes]]&gt;0),Table1[[#This Row],[AMT Taxes]]-Table1[[#This Row],[Regular Taxes Owed]],0)</f>
        <v>0</v>
      </c>
      <c r="X53" s="9">
        <f>Table1[[#This Row],[Extra Taxes From Amt]]+Table1[[#This Row],[Federal Taxes Owed (No AMT)]]</f>
        <v>-4350</v>
      </c>
      <c r="Y53" s="9">
        <f>IF(Table1[[#This Row],[taxable wages]]&gt;obamacare_surcharge_amount,obamacare_surcharge_percent*(Table1[[#This Row],[taxable wages]]-obamacare_surcharge_amount),0)</f>
        <v>0</v>
      </c>
      <c r="Z53" s="9">
        <f>Table1[[#This Row],[Federal Taxes Owed (Includes AMT)]]+Table1[[#This Row],[Obamacare surcharge premium]]</f>
        <v>-4350</v>
      </c>
      <c r="AA53" s="9">
        <f>Table1[[#This Row],[taxable wages]]-Table1[[#This Row],[Federal Taxes Owed2]]</f>
        <v>12350</v>
      </c>
      <c r="AB53" s="51">
        <f t="shared" si="11"/>
        <v>-0.6</v>
      </c>
      <c r="AC53" s="41"/>
      <c r="AD53" s="13"/>
      <c r="AE53" s="13"/>
      <c r="AK53" s="4"/>
    </row>
    <row r="54" spans="2:37" x14ac:dyDescent="0.3">
      <c r="B54" s="41">
        <f t="shared" si="12"/>
        <v>8500</v>
      </c>
      <c r="C54" s="1">
        <f>Table1[[#This Row],[taxable wages]]</f>
        <v>8500</v>
      </c>
      <c r="D54" s="1">
        <f>Table1[[#This Row],[taxable wages]]+interest+dividends+short_term_capital_gains+long_term_capital_gains</f>
        <v>8500</v>
      </c>
      <c r="E54" s="1">
        <f>MAX(Table1[[#This Row],[earned income for EITC]:[Agi For Eitc Calc]])</f>
        <v>8500</v>
      </c>
      <c r="F54" s="1">
        <f>Table1[[#This Row],[taxable wages]]+interest+dividends+short_term_capital_gains+long_term_capital_gains-(trad_ira_contributions+MIN(student_loan_interest_cap,student_loan_interest))</f>
        <v>8500</v>
      </c>
      <c r="G54" s="1">
        <f t="shared" si="8"/>
        <v>12600</v>
      </c>
      <c r="H54" s="1">
        <f t="shared" si="9"/>
        <v>28350</v>
      </c>
      <c r="I54" s="1">
        <f>MAX(0,Table1[[#This Row],[Agi]]-Table1[[#This Row],[Exemptions]]-Table1[[#This Row],[Effective Deductions]])</f>
        <v>0</v>
      </c>
      <c r="J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4" s="1">
        <f t="shared" si="10"/>
        <v>5000</v>
      </c>
      <c r="L54" s="1">
        <f>IF(Table1[[#This Row],[Agi]]&gt;ctc_phase_out_begins,ctc_phase_out_rate*(Table1[[#This Row],[Agi]]-ctc_phase_out_begins),0)</f>
        <v>0</v>
      </c>
      <c r="M54" s="1">
        <f>MAX(Table1[[#This Row],[Child Tax Credit]]-Table1[[#This Row],[Child Tax Credit Phase Out]],0)</f>
        <v>5000</v>
      </c>
      <c r="N54" s="1">
        <f>MAX(Table1[[#This Row],[Regular Taxes Owed]]-Table1[[#This Row],[Effective Child Tax Credit]],0)</f>
        <v>0</v>
      </c>
      <c r="O54" s="1">
        <f>MAX(MIN((Table1[[#This Row],[taxable wages]]-3000)*0.15,1000*num_kids_16_younger),0)</f>
        <v>825</v>
      </c>
      <c r="P54" s="9">
        <f>IF(Table1[[#This Row],[Effective Child Tax Credit]]&gt;Table1[[#This Row],[Regular Taxes Owed]],Table1[[#This Row],[Additional Child Tax Credit ]]-Table1[[#This Row],[Regular Taxes Owed]],0)</f>
        <v>825</v>
      </c>
      <c r="Q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3825</v>
      </c>
      <c r="R54" s="1">
        <f>Table1[[#This Row],[Effective Additional Child Tax Credit]]+Table1[[#This Row],[Eitc]]</f>
        <v>4650</v>
      </c>
      <c r="S54" s="9">
        <f>Table1[[#This Row],[Regular Taxes Owed - Effective Child Tax Credit]]-Table1[[#This Row],[Total Credits]]</f>
        <v>-4650</v>
      </c>
      <c r="T54" s="9">
        <f>Table1[[#This Row],[taxable wages]]+interest+dividends+short_term_capital_gains+long_term_capital_gains-(charitable_donations+mortgage_interest)</f>
        <v>8500</v>
      </c>
      <c r="U54" s="9">
        <f>MAX(amt_exemption-amt_exemption_phase_out_rate*MAX(Table1[[#This Row],[taxable wages]]-amt_phase_out_begins,0),0)</f>
        <v>83800</v>
      </c>
      <c r="V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4" s="1">
        <f>IF(AND(Table1[[#This Row],[AMT Taxes]]&gt;Table1[[#This Row],[Regular Taxes Owed]],Table1[[#This Row],[AMT Taxes]]&gt;0),Table1[[#This Row],[AMT Taxes]]-Table1[[#This Row],[Regular Taxes Owed]],0)</f>
        <v>0</v>
      </c>
      <c r="X54" s="9">
        <f>Table1[[#This Row],[Extra Taxes From Amt]]+Table1[[#This Row],[Federal Taxes Owed (No AMT)]]</f>
        <v>-4650</v>
      </c>
      <c r="Y54" s="9">
        <f>IF(Table1[[#This Row],[taxable wages]]&gt;obamacare_surcharge_amount,obamacare_surcharge_percent*(Table1[[#This Row],[taxable wages]]-obamacare_surcharge_amount),0)</f>
        <v>0</v>
      </c>
      <c r="Z54" s="9">
        <f>Table1[[#This Row],[Federal Taxes Owed (Includes AMT)]]+Table1[[#This Row],[Obamacare surcharge premium]]</f>
        <v>-4650</v>
      </c>
      <c r="AA54" s="9">
        <f>Table1[[#This Row],[taxable wages]]-Table1[[#This Row],[Federal Taxes Owed2]]</f>
        <v>13150</v>
      </c>
      <c r="AB54" s="51">
        <f t="shared" si="11"/>
        <v>-0.6</v>
      </c>
      <c r="AC54" s="41"/>
      <c r="AD54" s="13"/>
      <c r="AE54" s="13"/>
    </row>
    <row r="55" spans="2:37" x14ac:dyDescent="0.3">
      <c r="B55" s="41">
        <f t="shared" si="12"/>
        <v>9000</v>
      </c>
      <c r="C55" s="1">
        <f>Table1[[#This Row],[taxable wages]]</f>
        <v>9000</v>
      </c>
      <c r="D55" s="1">
        <f>Table1[[#This Row],[taxable wages]]+interest+dividends+short_term_capital_gains+long_term_capital_gains</f>
        <v>9000</v>
      </c>
      <c r="E55" s="1">
        <f>MAX(Table1[[#This Row],[earned income for EITC]:[Agi For Eitc Calc]])</f>
        <v>9000</v>
      </c>
      <c r="F55" s="1">
        <f>Table1[[#This Row],[taxable wages]]+interest+dividends+short_term_capital_gains+long_term_capital_gains-(trad_ira_contributions+MIN(student_loan_interest_cap,student_loan_interest))</f>
        <v>9000</v>
      </c>
      <c r="G55" s="1">
        <f t="shared" si="8"/>
        <v>12600</v>
      </c>
      <c r="H55" s="1">
        <f t="shared" si="9"/>
        <v>28350</v>
      </c>
      <c r="I55" s="1">
        <f>MAX(0,Table1[[#This Row],[Agi]]-Table1[[#This Row],[Exemptions]]-Table1[[#This Row],[Effective Deductions]])</f>
        <v>0</v>
      </c>
      <c r="J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5" s="1">
        <f t="shared" si="10"/>
        <v>5000</v>
      </c>
      <c r="L55" s="1">
        <f>IF(Table1[[#This Row],[Agi]]&gt;ctc_phase_out_begins,ctc_phase_out_rate*(Table1[[#This Row],[Agi]]-ctc_phase_out_begins),0)</f>
        <v>0</v>
      </c>
      <c r="M55" s="1">
        <f>MAX(Table1[[#This Row],[Child Tax Credit]]-Table1[[#This Row],[Child Tax Credit Phase Out]],0)</f>
        <v>5000</v>
      </c>
      <c r="N55" s="1">
        <f>MAX(Table1[[#This Row],[Regular Taxes Owed]]-Table1[[#This Row],[Effective Child Tax Credit]],0)</f>
        <v>0</v>
      </c>
      <c r="O55" s="1">
        <f>MAX(MIN((Table1[[#This Row],[taxable wages]]-3000)*0.15,1000*num_kids_16_younger),0)</f>
        <v>900</v>
      </c>
      <c r="P55" s="9">
        <f>IF(Table1[[#This Row],[Effective Child Tax Credit]]&gt;Table1[[#This Row],[Regular Taxes Owed]],Table1[[#This Row],[Additional Child Tax Credit ]]-Table1[[#This Row],[Regular Taxes Owed]],0)</f>
        <v>900</v>
      </c>
      <c r="Q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4050</v>
      </c>
      <c r="R55" s="1">
        <f>Table1[[#This Row],[Effective Additional Child Tax Credit]]+Table1[[#This Row],[Eitc]]</f>
        <v>4950</v>
      </c>
      <c r="S55" s="9">
        <f>Table1[[#This Row],[Regular Taxes Owed - Effective Child Tax Credit]]-Table1[[#This Row],[Total Credits]]</f>
        <v>-4950</v>
      </c>
      <c r="T55" s="9">
        <f>Table1[[#This Row],[taxable wages]]+interest+dividends+short_term_capital_gains+long_term_capital_gains-(charitable_donations+mortgage_interest)</f>
        <v>9000</v>
      </c>
      <c r="U55" s="9">
        <f>MAX(amt_exemption-amt_exemption_phase_out_rate*MAX(Table1[[#This Row],[taxable wages]]-amt_phase_out_begins,0),0)</f>
        <v>83800</v>
      </c>
      <c r="V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5" s="1">
        <f>IF(AND(Table1[[#This Row],[AMT Taxes]]&gt;Table1[[#This Row],[Regular Taxes Owed]],Table1[[#This Row],[AMT Taxes]]&gt;0),Table1[[#This Row],[AMT Taxes]]-Table1[[#This Row],[Regular Taxes Owed]],0)</f>
        <v>0</v>
      </c>
      <c r="X55" s="9">
        <f>Table1[[#This Row],[Extra Taxes From Amt]]+Table1[[#This Row],[Federal Taxes Owed (No AMT)]]</f>
        <v>-4950</v>
      </c>
      <c r="Y55" s="9">
        <f>IF(Table1[[#This Row],[taxable wages]]&gt;obamacare_surcharge_amount,obamacare_surcharge_percent*(Table1[[#This Row],[taxable wages]]-obamacare_surcharge_amount),0)</f>
        <v>0</v>
      </c>
      <c r="Z55" s="9">
        <f>Table1[[#This Row],[Federal Taxes Owed (Includes AMT)]]+Table1[[#This Row],[Obamacare surcharge premium]]</f>
        <v>-4950</v>
      </c>
      <c r="AA55" s="9">
        <f>Table1[[#This Row],[taxable wages]]-Table1[[#This Row],[Federal Taxes Owed2]]</f>
        <v>13950</v>
      </c>
      <c r="AB55" s="51">
        <f t="shared" si="11"/>
        <v>-0.6</v>
      </c>
      <c r="AC55" s="41"/>
      <c r="AD55" s="13"/>
      <c r="AE55" s="13"/>
    </row>
    <row r="56" spans="2:37" x14ac:dyDescent="0.3">
      <c r="B56" s="41">
        <f t="shared" si="12"/>
        <v>9500</v>
      </c>
      <c r="C56" s="1">
        <f>Table1[[#This Row],[taxable wages]]</f>
        <v>9500</v>
      </c>
      <c r="D56" s="1">
        <f>Table1[[#This Row],[taxable wages]]+interest+dividends+short_term_capital_gains+long_term_capital_gains</f>
        <v>9500</v>
      </c>
      <c r="E56" s="1">
        <f>MAX(Table1[[#This Row],[earned income for EITC]:[Agi For Eitc Calc]])</f>
        <v>9500</v>
      </c>
      <c r="F56" s="1">
        <f>Table1[[#This Row],[taxable wages]]+interest+dividends+short_term_capital_gains+long_term_capital_gains-(trad_ira_contributions+MIN(student_loan_interest_cap,student_loan_interest))</f>
        <v>9500</v>
      </c>
      <c r="G56" s="1">
        <f t="shared" si="8"/>
        <v>12600</v>
      </c>
      <c r="H56" s="1">
        <f t="shared" si="9"/>
        <v>28350</v>
      </c>
      <c r="I56" s="1">
        <f>MAX(0,Table1[[#This Row],[Agi]]-Table1[[#This Row],[Exemptions]]-Table1[[#This Row],[Effective Deductions]])</f>
        <v>0</v>
      </c>
      <c r="J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6" s="1">
        <f t="shared" si="10"/>
        <v>5000</v>
      </c>
      <c r="L56" s="1">
        <f>IF(Table1[[#This Row],[Agi]]&gt;ctc_phase_out_begins,ctc_phase_out_rate*(Table1[[#This Row],[Agi]]-ctc_phase_out_begins),0)</f>
        <v>0</v>
      </c>
      <c r="M56" s="1">
        <f>MAX(Table1[[#This Row],[Child Tax Credit]]-Table1[[#This Row],[Child Tax Credit Phase Out]],0)</f>
        <v>5000</v>
      </c>
      <c r="N56" s="1">
        <f>MAX(Table1[[#This Row],[Regular Taxes Owed]]-Table1[[#This Row],[Effective Child Tax Credit]],0)</f>
        <v>0</v>
      </c>
      <c r="O56" s="1">
        <f>MAX(MIN((Table1[[#This Row],[taxable wages]]-3000)*0.15,1000*num_kids_16_younger),0)</f>
        <v>975</v>
      </c>
      <c r="P56" s="9">
        <f>IF(Table1[[#This Row],[Effective Child Tax Credit]]&gt;Table1[[#This Row],[Regular Taxes Owed]],Table1[[#This Row],[Additional Child Tax Credit ]]-Table1[[#This Row],[Regular Taxes Owed]],0)</f>
        <v>975</v>
      </c>
      <c r="Q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4275</v>
      </c>
      <c r="R56" s="1">
        <f>Table1[[#This Row],[Effective Additional Child Tax Credit]]+Table1[[#This Row],[Eitc]]</f>
        <v>5250</v>
      </c>
      <c r="S56" s="9">
        <f>Table1[[#This Row],[Regular Taxes Owed - Effective Child Tax Credit]]-Table1[[#This Row],[Total Credits]]</f>
        <v>-5250</v>
      </c>
      <c r="T56" s="9">
        <f>Table1[[#This Row],[taxable wages]]+interest+dividends+short_term_capital_gains+long_term_capital_gains-(charitable_donations+mortgage_interest)</f>
        <v>9500</v>
      </c>
      <c r="U56" s="9">
        <f>MAX(amt_exemption-amt_exemption_phase_out_rate*MAX(Table1[[#This Row],[taxable wages]]-amt_phase_out_begins,0),0)</f>
        <v>83800</v>
      </c>
      <c r="V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6" s="1">
        <f>IF(AND(Table1[[#This Row],[AMT Taxes]]&gt;Table1[[#This Row],[Regular Taxes Owed]],Table1[[#This Row],[AMT Taxes]]&gt;0),Table1[[#This Row],[AMT Taxes]]-Table1[[#This Row],[Regular Taxes Owed]],0)</f>
        <v>0</v>
      </c>
      <c r="X56" s="9">
        <f>Table1[[#This Row],[Extra Taxes From Amt]]+Table1[[#This Row],[Federal Taxes Owed (No AMT)]]</f>
        <v>-5250</v>
      </c>
      <c r="Y56" s="9">
        <f>IF(Table1[[#This Row],[taxable wages]]&gt;obamacare_surcharge_amount,obamacare_surcharge_percent*(Table1[[#This Row],[taxable wages]]-obamacare_surcharge_amount),0)</f>
        <v>0</v>
      </c>
      <c r="Z56" s="9">
        <f>Table1[[#This Row],[Federal Taxes Owed (Includes AMT)]]+Table1[[#This Row],[Obamacare surcharge premium]]</f>
        <v>-5250</v>
      </c>
      <c r="AA56" s="9">
        <f>Table1[[#This Row],[taxable wages]]-Table1[[#This Row],[Federal Taxes Owed2]]</f>
        <v>14750</v>
      </c>
      <c r="AB56" s="51">
        <f t="shared" si="11"/>
        <v>-0.6</v>
      </c>
      <c r="AC56" s="41"/>
      <c r="AD56" s="13"/>
      <c r="AE56" s="13"/>
    </row>
    <row r="57" spans="2:37" x14ac:dyDescent="0.3">
      <c r="B57" s="41">
        <f t="shared" si="12"/>
        <v>10000</v>
      </c>
      <c r="C57" s="1">
        <f>Table1[[#This Row],[taxable wages]]</f>
        <v>10000</v>
      </c>
      <c r="D57" s="1">
        <f>Table1[[#This Row],[taxable wages]]+interest+dividends+short_term_capital_gains+long_term_capital_gains</f>
        <v>10000</v>
      </c>
      <c r="E57" s="1">
        <f>MAX(Table1[[#This Row],[earned income for EITC]:[Agi For Eitc Calc]])</f>
        <v>10000</v>
      </c>
      <c r="F57" s="1">
        <f>Table1[[#This Row],[taxable wages]]+interest+dividends+short_term_capital_gains+long_term_capital_gains-(trad_ira_contributions+MIN(student_loan_interest_cap,student_loan_interest))</f>
        <v>10000</v>
      </c>
      <c r="G57" s="1">
        <f t="shared" si="8"/>
        <v>12600</v>
      </c>
      <c r="H57" s="1">
        <f t="shared" si="9"/>
        <v>28350</v>
      </c>
      <c r="I57" s="1">
        <f>MAX(0,Table1[[#This Row],[Agi]]-Table1[[#This Row],[Exemptions]]-Table1[[#This Row],[Effective Deductions]])</f>
        <v>0</v>
      </c>
      <c r="J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7" s="1">
        <f t="shared" si="10"/>
        <v>5000</v>
      </c>
      <c r="L57" s="1">
        <f>IF(Table1[[#This Row],[Agi]]&gt;ctc_phase_out_begins,ctc_phase_out_rate*(Table1[[#This Row],[Agi]]-ctc_phase_out_begins),0)</f>
        <v>0</v>
      </c>
      <c r="M57" s="1">
        <f>MAX(Table1[[#This Row],[Child Tax Credit]]-Table1[[#This Row],[Child Tax Credit Phase Out]],0)</f>
        <v>5000</v>
      </c>
      <c r="N57" s="1">
        <f>MAX(Table1[[#This Row],[Regular Taxes Owed]]-Table1[[#This Row],[Effective Child Tax Credit]],0)</f>
        <v>0</v>
      </c>
      <c r="O57" s="1">
        <f>MAX(MIN((Table1[[#This Row],[taxable wages]]-3000)*0.15,1000*num_kids_16_younger),0)</f>
        <v>1050</v>
      </c>
      <c r="P57" s="9">
        <f>IF(Table1[[#This Row],[Effective Child Tax Credit]]&gt;Table1[[#This Row],[Regular Taxes Owed]],Table1[[#This Row],[Additional Child Tax Credit ]]-Table1[[#This Row],[Regular Taxes Owed]],0)</f>
        <v>1050</v>
      </c>
      <c r="Q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4500</v>
      </c>
      <c r="R57" s="1">
        <f>Table1[[#This Row],[Effective Additional Child Tax Credit]]+Table1[[#This Row],[Eitc]]</f>
        <v>5550</v>
      </c>
      <c r="S57" s="9">
        <f>Table1[[#This Row],[Regular Taxes Owed - Effective Child Tax Credit]]-Table1[[#This Row],[Total Credits]]</f>
        <v>-5550</v>
      </c>
      <c r="T57" s="9">
        <f>Table1[[#This Row],[taxable wages]]+interest+dividends+short_term_capital_gains+long_term_capital_gains-(charitable_donations+mortgage_interest)</f>
        <v>10000</v>
      </c>
      <c r="U57" s="9">
        <f>MAX(amt_exemption-amt_exemption_phase_out_rate*MAX(Table1[[#This Row],[taxable wages]]-amt_phase_out_begins,0),0)</f>
        <v>83800</v>
      </c>
      <c r="V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7" s="1">
        <f>IF(AND(Table1[[#This Row],[AMT Taxes]]&gt;Table1[[#This Row],[Regular Taxes Owed]],Table1[[#This Row],[AMT Taxes]]&gt;0),Table1[[#This Row],[AMT Taxes]]-Table1[[#This Row],[Regular Taxes Owed]],0)</f>
        <v>0</v>
      </c>
      <c r="X57" s="9">
        <f>Table1[[#This Row],[Extra Taxes From Amt]]+Table1[[#This Row],[Federal Taxes Owed (No AMT)]]</f>
        <v>-5550</v>
      </c>
      <c r="Y57" s="9">
        <f>IF(Table1[[#This Row],[taxable wages]]&gt;obamacare_surcharge_amount,obamacare_surcharge_percent*(Table1[[#This Row],[taxable wages]]-obamacare_surcharge_amount),0)</f>
        <v>0</v>
      </c>
      <c r="Z57" s="9">
        <f>Table1[[#This Row],[Federal Taxes Owed (Includes AMT)]]+Table1[[#This Row],[Obamacare surcharge premium]]</f>
        <v>-5550</v>
      </c>
      <c r="AA57" s="9">
        <f>Table1[[#This Row],[taxable wages]]-Table1[[#This Row],[Federal Taxes Owed2]]</f>
        <v>15550</v>
      </c>
      <c r="AB57" s="51">
        <f t="shared" si="11"/>
        <v>-0.6</v>
      </c>
      <c r="AC57" s="41"/>
      <c r="AD57" s="13"/>
      <c r="AE57" s="13"/>
    </row>
    <row r="58" spans="2:37" x14ac:dyDescent="0.3">
      <c r="B58" s="41">
        <f t="shared" si="12"/>
        <v>10500</v>
      </c>
      <c r="C58" s="1">
        <f>Table1[[#This Row],[taxable wages]]</f>
        <v>10500</v>
      </c>
      <c r="D58" s="1">
        <f>Table1[[#This Row],[taxable wages]]+interest+dividends+short_term_capital_gains+long_term_capital_gains</f>
        <v>10500</v>
      </c>
      <c r="E58" s="1">
        <f>MAX(Table1[[#This Row],[earned income for EITC]:[Agi For Eitc Calc]])</f>
        <v>10500</v>
      </c>
      <c r="F58" s="1">
        <f>Table1[[#This Row],[taxable wages]]+interest+dividends+short_term_capital_gains+long_term_capital_gains-(trad_ira_contributions+MIN(student_loan_interest_cap,student_loan_interest))</f>
        <v>10500</v>
      </c>
      <c r="G58" s="1">
        <f t="shared" si="8"/>
        <v>12600</v>
      </c>
      <c r="H58" s="1">
        <f t="shared" si="9"/>
        <v>28350</v>
      </c>
      <c r="I58" s="1">
        <f>MAX(0,Table1[[#This Row],[Agi]]-Table1[[#This Row],[Exemptions]]-Table1[[#This Row],[Effective Deductions]])</f>
        <v>0</v>
      </c>
      <c r="J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8" s="1">
        <f t="shared" si="10"/>
        <v>5000</v>
      </c>
      <c r="L58" s="1">
        <f>IF(Table1[[#This Row],[Agi]]&gt;ctc_phase_out_begins,ctc_phase_out_rate*(Table1[[#This Row],[Agi]]-ctc_phase_out_begins),0)</f>
        <v>0</v>
      </c>
      <c r="M58" s="1">
        <f>MAX(Table1[[#This Row],[Child Tax Credit]]-Table1[[#This Row],[Child Tax Credit Phase Out]],0)</f>
        <v>5000</v>
      </c>
      <c r="N58" s="1">
        <f>MAX(Table1[[#This Row],[Regular Taxes Owed]]-Table1[[#This Row],[Effective Child Tax Credit]],0)</f>
        <v>0</v>
      </c>
      <c r="O58" s="1">
        <f>MAX(MIN((Table1[[#This Row],[taxable wages]]-3000)*0.15,1000*num_kids_16_younger),0)</f>
        <v>1125</v>
      </c>
      <c r="P58" s="9">
        <f>IF(Table1[[#This Row],[Effective Child Tax Credit]]&gt;Table1[[#This Row],[Regular Taxes Owed]],Table1[[#This Row],[Additional Child Tax Credit ]]-Table1[[#This Row],[Regular Taxes Owed]],0)</f>
        <v>1125</v>
      </c>
      <c r="Q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4725</v>
      </c>
      <c r="R58" s="1">
        <f>Table1[[#This Row],[Effective Additional Child Tax Credit]]+Table1[[#This Row],[Eitc]]</f>
        <v>5850</v>
      </c>
      <c r="S58" s="9">
        <f>Table1[[#This Row],[Regular Taxes Owed - Effective Child Tax Credit]]-Table1[[#This Row],[Total Credits]]</f>
        <v>-5850</v>
      </c>
      <c r="T58" s="9">
        <f>Table1[[#This Row],[taxable wages]]+interest+dividends+short_term_capital_gains+long_term_capital_gains-(charitable_donations+mortgage_interest)</f>
        <v>10500</v>
      </c>
      <c r="U58" s="9">
        <f>MAX(amt_exemption-amt_exemption_phase_out_rate*MAX(Table1[[#This Row],[taxable wages]]-amt_phase_out_begins,0),0)</f>
        <v>83800</v>
      </c>
      <c r="V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8" s="1">
        <f>IF(AND(Table1[[#This Row],[AMT Taxes]]&gt;Table1[[#This Row],[Regular Taxes Owed]],Table1[[#This Row],[AMT Taxes]]&gt;0),Table1[[#This Row],[AMT Taxes]]-Table1[[#This Row],[Regular Taxes Owed]],0)</f>
        <v>0</v>
      </c>
      <c r="X58" s="9">
        <f>Table1[[#This Row],[Extra Taxes From Amt]]+Table1[[#This Row],[Federal Taxes Owed (No AMT)]]</f>
        <v>-5850</v>
      </c>
      <c r="Y58" s="9">
        <f>IF(Table1[[#This Row],[taxable wages]]&gt;obamacare_surcharge_amount,obamacare_surcharge_percent*(Table1[[#This Row],[taxable wages]]-obamacare_surcharge_amount),0)</f>
        <v>0</v>
      </c>
      <c r="Z58" s="9">
        <f>Table1[[#This Row],[Federal Taxes Owed (Includes AMT)]]+Table1[[#This Row],[Obamacare surcharge premium]]</f>
        <v>-5850</v>
      </c>
      <c r="AA58" s="9">
        <f>Table1[[#This Row],[taxable wages]]-Table1[[#This Row],[Federal Taxes Owed2]]</f>
        <v>16350</v>
      </c>
      <c r="AB58" s="51">
        <f t="shared" si="11"/>
        <v>-0.6</v>
      </c>
      <c r="AC58" s="41"/>
      <c r="AD58" s="13"/>
      <c r="AE58" s="13"/>
    </row>
    <row r="59" spans="2:37" x14ac:dyDescent="0.3">
      <c r="B59" s="41">
        <f t="shared" si="12"/>
        <v>11000</v>
      </c>
      <c r="C59" s="1">
        <f>Table1[[#This Row],[taxable wages]]</f>
        <v>11000</v>
      </c>
      <c r="D59" s="1">
        <f>Table1[[#This Row],[taxable wages]]+interest+dividends+short_term_capital_gains+long_term_capital_gains</f>
        <v>11000</v>
      </c>
      <c r="E59" s="1">
        <f>MAX(Table1[[#This Row],[earned income for EITC]:[Agi For Eitc Calc]])</f>
        <v>11000</v>
      </c>
      <c r="F59" s="1">
        <f>Table1[[#This Row],[taxable wages]]+interest+dividends+short_term_capital_gains+long_term_capital_gains-(trad_ira_contributions+MIN(student_loan_interest_cap,student_loan_interest))</f>
        <v>11000</v>
      </c>
      <c r="G59" s="1">
        <f t="shared" si="8"/>
        <v>12600</v>
      </c>
      <c r="H59" s="1">
        <f t="shared" si="9"/>
        <v>28350</v>
      </c>
      <c r="I59" s="1">
        <f>MAX(0,Table1[[#This Row],[Agi]]-Table1[[#This Row],[Exemptions]]-Table1[[#This Row],[Effective Deductions]])</f>
        <v>0</v>
      </c>
      <c r="J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59" s="1">
        <f t="shared" si="10"/>
        <v>5000</v>
      </c>
      <c r="L59" s="1">
        <f>IF(Table1[[#This Row],[Agi]]&gt;ctc_phase_out_begins,ctc_phase_out_rate*(Table1[[#This Row],[Agi]]-ctc_phase_out_begins),0)</f>
        <v>0</v>
      </c>
      <c r="M59" s="1">
        <f>MAX(Table1[[#This Row],[Child Tax Credit]]-Table1[[#This Row],[Child Tax Credit Phase Out]],0)</f>
        <v>5000</v>
      </c>
      <c r="N59" s="1">
        <f>MAX(Table1[[#This Row],[Regular Taxes Owed]]-Table1[[#This Row],[Effective Child Tax Credit]],0)</f>
        <v>0</v>
      </c>
      <c r="O59" s="1">
        <f>MAX(MIN((Table1[[#This Row],[taxable wages]]-3000)*0.15,1000*num_kids_16_younger),0)</f>
        <v>1200</v>
      </c>
      <c r="P59" s="9">
        <f>IF(Table1[[#This Row],[Effective Child Tax Credit]]&gt;Table1[[#This Row],[Regular Taxes Owed]],Table1[[#This Row],[Additional Child Tax Credit ]]-Table1[[#This Row],[Regular Taxes Owed]],0)</f>
        <v>1200</v>
      </c>
      <c r="Q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4950</v>
      </c>
      <c r="R59" s="1">
        <f>Table1[[#This Row],[Effective Additional Child Tax Credit]]+Table1[[#This Row],[Eitc]]</f>
        <v>6150</v>
      </c>
      <c r="S59" s="9">
        <f>Table1[[#This Row],[Regular Taxes Owed - Effective Child Tax Credit]]-Table1[[#This Row],[Total Credits]]</f>
        <v>-6150</v>
      </c>
      <c r="T59" s="9">
        <f>Table1[[#This Row],[taxable wages]]+interest+dividends+short_term_capital_gains+long_term_capital_gains-(charitable_donations+mortgage_interest)</f>
        <v>11000</v>
      </c>
      <c r="U59" s="9">
        <f>MAX(amt_exemption-amt_exemption_phase_out_rate*MAX(Table1[[#This Row],[taxable wages]]-amt_phase_out_begins,0),0)</f>
        <v>83800</v>
      </c>
      <c r="V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59" s="1">
        <f>IF(AND(Table1[[#This Row],[AMT Taxes]]&gt;Table1[[#This Row],[Regular Taxes Owed]],Table1[[#This Row],[AMT Taxes]]&gt;0),Table1[[#This Row],[AMT Taxes]]-Table1[[#This Row],[Regular Taxes Owed]],0)</f>
        <v>0</v>
      </c>
      <c r="X59" s="9">
        <f>Table1[[#This Row],[Extra Taxes From Amt]]+Table1[[#This Row],[Federal Taxes Owed (No AMT)]]</f>
        <v>-6150</v>
      </c>
      <c r="Y59" s="9">
        <f>IF(Table1[[#This Row],[taxable wages]]&gt;obamacare_surcharge_amount,obamacare_surcharge_percent*(Table1[[#This Row],[taxable wages]]-obamacare_surcharge_amount),0)</f>
        <v>0</v>
      </c>
      <c r="Z59" s="9">
        <f>Table1[[#This Row],[Federal Taxes Owed (Includes AMT)]]+Table1[[#This Row],[Obamacare surcharge premium]]</f>
        <v>-6150</v>
      </c>
      <c r="AA59" s="9">
        <f>Table1[[#This Row],[taxable wages]]-Table1[[#This Row],[Federal Taxes Owed2]]</f>
        <v>17150</v>
      </c>
      <c r="AB59" s="51">
        <f t="shared" si="11"/>
        <v>-0.6</v>
      </c>
      <c r="AC59" s="41"/>
      <c r="AD59" s="13"/>
      <c r="AE59" s="13"/>
    </row>
    <row r="60" spans="2:37" x14ac:dyDescent="0.3">
      <c r="B60" s="41">
        <f t="shared" si="12"/>
        <v>11500</v>
      </c>
      <c r="C60" s="1">
        <f>Table1[[#This Row],[taxable wages]]</f>
        <v>11500</v>
      </c>
      <c r="D60" s="1">
        <f>Table1[[#This Row],[taxable wages]]+interest+dividends+short_term_capital_gains+long_term_capital_gains</f>
        <v>11500</v>
      </c>
      <c r="E60" s="1">
        <f>MAX(Table1[[#This Row],[earned income for EITC]:[Agi For Eitc Calc]])</f>
        <v>11500</v>
      </c>
      <c r="F60" s="1">
        <f>Table1[[#This Row],[taxable wages]]+interest+dividends+short_term_capital_gains+long_term_capital_gains-(trad_ira_contributions+MIN(student_loan_interest_cap,student_loan_interest))</f>
        <v>11500</v>
      </c>
      <c r="G60" s="1">
        <f t="shared" si="8"/>
        <v>12600</v>
      </c>
      <c r="H60" s="1">
        <f t="shared" si="9"/>
        <v>28350</v>
      </c>
      <c r="I60" s="1">
        <f>MAX(0,Table1[[#This Row],[Agi]]-Table1[[#This Row],[Exemptions]]-Table1[[#This Row],[Effective Deductions]])</f>
        <v>0</v>
      </c>
      <c r="J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0" s="1">
        <f t="shared" si="10"/>
        <v>5000</v>
      </c>
      <c r="L60" s="1">
        <f>IF(Table1[[#This Row],[Agi]]&gt;ctc_phase_out_begins,ctc_phase_out_rate*(Table1[[#This Row],[Agi]]-ctc_phase_out_begins),0)</f>
        <v>0</v>
      </c>
      <c r="M60" s="1">
        <f>MAX(Table1[[#This Row],[Child Tax Credit]]-Table1[[#This Row],[Child Tax Credit Phase Out]],0)</f>
        <v>5000</v>
      </c>
      <c r="N60" s="1">
        <f>MAX(Table1[[#This Row],[Regular Taxes Owed]]-Table1[[#This Row],[Effective Child Tax Credit]],0)</f>
        <v>0</v>
      </c>
      <c r="O60" s="1">
        <f>MAX(MIN((Table1[[#This Row],[taxable wages]]-3000)*0.15,1000*num_kids_16_younger),0)</f>
        <v>1275</v>
      </c>
      <c r="P60" s="9">
        <f>IF(Table1[[#This Row],[Effective Child Tax Credit]]&gt;Table1[[#This Row],[Regular Taxes Owed]],Table1[[#This Row],[Additional Child Tax Credit ]]-Table1[[#This Row],[Regular Taxes Owed]],0)</f>
        <v>1275</v>
      </c>
      <c r="Q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5175</v>
      </c>
      <c r="R60" s="1">
        <f>Table1[[#This Row],[Effective Additional Child Tax Credit]]+Table1[[#This Row],[Eitc]]</f>
        <v>6450</v>
      </c>
      <c r="S60" s="9">
        <f>Table1[[#This Row],[Regular Taxes Owed - Effective Child Tax Credit]]-Table1[[#This Row],[Total Credits]]</f>
        <v>-6450</v>
      </c>
      <c r="T60" s="9">
        <f>Table1[[#This Row],[taxable wages]]+interest+dividends+short_term_capital_gains+long_term_capital_gains-(charitable_donations+mortgage_interest)</f>
        <v>11500</v>
      </c>
      <c r="U60" s="9">
        <f>MAX(amt_exemption-amt_exemption_phase_out_rate*MAX(Table1[[#This Row],[taxable wages]]-amt_phase_out_begins,0),0)</f>
        <v>83800</v>
      </c>
      <c r="V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0" s="1">
        <f>IF(AND(Table1[[#This Row],[AMT Taxes]]&gt;Table1[[#This Row],[Regular Taxes Owed]],Table1[[#This Row],[AMT Taxes]]&gt;0),Table1[[#This Row],[AMT Taxes]]-Table1[[#This Row],[Regular Taxes Owed]],0)</f>
        <v>0</v>
      </c>
      <c r="X60" s="9">
        <f>Table1[[#This Row],[Extra Taxes From Amt]]+Table1[[#This Row],[Federal Taxes Owed (No AMT)]]</f>
        <v>-6450</v>
      </c>
      <c r="Y60" s="9">
        <f>IF(Table1[[#This Row],[taxable wages]]&gt;obamacare_surcharge_amount,obamacare_surcharge_percent*(Table1[[#This Row],[taxable wages]]-obamacare_surcharge_amount),0)</f>
        <v>0</v>
      </c>
      <c r="Z60" s="9">
        <f>Table1[[#This Row],[Federal Taxes Owed (Includes AMT)]]+Table1[[#This Row],[Obamacare surcharge premium]]</f>
        <v>-6450</v>
      </c>
      <c r="AA60" s="9">
        <f>Table1[[#This Row],[taxable wages]]-Table1[[#This Row],[Federal Taxes Owed2]]</f>
        <v>17950</v>
      </c>
      <c r="AB60" s="51">
        <f t="shared" si="11"/>
        <v>-0.6</v>
      </c>
      <c r="AC60" s="41"/>
      <c r="AD60" s="13"/>
      <c r="AE60" s="13"/>
    </row>
    <row r="61" spans="2:37" x14ac:dyDescent="0.3">
      <c r="B61" s="41">
        <f t="shared" si="12"/>
        <v>12000</v>
      </c>
      <c r="C61" s="1">
        <f>Table1[[#This Row],[taxable wages]]</f>
        <v>12000</v>
      </c>
      <c r="D61" s="1">
        <f>Table1[[#This Row],[taxable wages]]+interest+dividends+short_term_capital_gains+long_term_capital_gains</f>
        <v>12000</v>
      </c>
      <c r="E61" s="1">
        <f>MAX(Table1[[#This Row],[earned income for EITC]:[Agi For Eitc Calc]])</f>
        <v>12000</v>
      </c>
      <c r="F61" s="1">
        <f>Table1[[#This Row],[taxable wages]]+interest+dividends+short_term_capital_gains+long_term_capital_gains-(trad_ira_contributions+MIN(student_loan_interest_cap,student_loan_interest))</f>
        <v>12000</v>
      </c>
      <c r="G61" s="1">
        <f t="shared" si="8"/>
        <v>12600</v>
      </c>
      <c r="H61" s="1">
        <f t="shared" si="9"/>
        <v>28350</v>
      </c>
      <c r="I61" s="1">
        <f>MAX(0,Table1[[#This Row],[Agi]]-Table1[[#This Row],[Exemptions]]-Table1[[#This Row],[Effective Deductions]])</f>
        <v>0</v>
      </c>
      <c r="J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1" s="1">
        <f t="shared" si="10"/>
        <v>5000</v>
      </c>
      <c r="L61" s="1">
        <f>IF(Table1[[#This Row],[Agi]]&gt;ctc_phase_out_begins,ctc_phase_out_rate*(Table1[[#This Row],[Agi]]-ctc_phase_out_begins),0)</f>
        <v>0</v>
      </c>
      <c r="M61" s="1">
        <f>MAX(Table1[[#This Row],[Child Tax Credit]]-Table1[[#This Row],[Child Tax Credit Phase Out]],0)</f>
        <v>5000</v>
      </c>
      <c r="N61" s="1">
        <f>MAX(Table1[[#This Row],[Regular Taxes Owed]]-Table1[[#This Row],[Effective Child Tax Credit]],0)</f>
        <v>0</v>
      </c>
      <c r="O61" s="1">
        <f>MAX(MIN((Table1[[#This Row],[taxable wages]]-3000)*0.15,1000*num_kids_16_younger),0)</f>
        <v>1350</v>
      </c>
      <c r="P61" s="9">
        <f>IF(Table1[[#This Row],[Effective Child Tax Credit]]&gt;Table1[[#This Row],[Regular Taxes Owed]],Table1[[#This Row],[Additional Child Tax Credit ]]-Table1[[#This Row],[Regular Taxes Owed]],0)</f>
        <v>1350</v>
      </c>
      <c r="Q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5400</v>
      </c>
      <c r="R61" s="1">
        <f>Table1[[#This Row],[Effective Additional Child Tax Credit]]+Table1[[#This Row],[Eitc]]</f>
        <v>6750</v>
      </c>
      <c r="S61" s="9">
        <f>Table1[[#This Row],[Regular Taxes Owed - Effective Child Tax Credit]]-Table1[[#This Row],[Total Credits]]</f>
        <v>-6750</v>
      </c>
      <c r="T61" s="9">
        <f>Table1[[#This Row],[taxable wages]]+interest+dividends+short_term_capital_gains+long_term_capital_gains-(charitable_donations+mortgage_interest)</f>
        <v>12000</v>
      </c>
      <c r="U61" s="9">
        <f>MAX(amt_exemption-amt_exemption_phase_out_rate*MAX(Table1[[#This Row],[taxable wages]]-amt_phase_out_begins,0),0)</f>
        <v>83800</v>
      </c>
      <c r="V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1" s="1">
        <f>IF(AND(Table1[[#This Row],[AMT Taxes]]&gt;Table1[[#This Row],[Regular Taxes Owed]],Table1[[#This Row],[AMT Taxes]]&gt;0),Table1[[#This Row],[AMT Taxes]]-Table1[[#This Row],[Regular Taxes Owed]],0)</f>
        <v>0</v>
      </c>
      <c r="X61" s="9">
        <f>Table1[[#This Row],[Extra Taxes From Amt]]+Table1[[#This Row],[Federal Taxes Owed (No AMT)]]</f>
        <v>-6750</v>
      </c>
      <c r="Y61" s="9">
        <f>IF(Table1[[#This Row],[taxable wages]]&gt;obamacare_surcharge_amount,obamacare_surcharge_percent*(Table1[[#This Row],[taxable wages]]-obamacare_surcharge_amount),0)</f>
        <v>0</v>
      </c>
      <c r="Z61" s="9">
        <f>Table1[[#This Row],[Federal Taxes Owed (Includes AMT)]]+Table1[[#This Row],[Obamacare surcharge premium]]</f>
        <v>-6750</v>
      </c>
      <c r="AA61" s="9">
        <f>Table1[[#This Row],[taxable wages]]-Table1[[#This Row],[Federal Taxes Owed2]]</f>
        <v>18750</v>
      </c>
      <c r="AB61" s="51">
        <f t="shared" si="11"/>
        <v>-0.6</v>
      </c>
      <c r="AC61" s="41"/>
      <c r="AD61" s="13"/>
      <c r="AE61" s="13"/>
    </row>
    <row r="62" spans="2:37" x14ac:dyDescent="0.3">
      <c r="B62" s="41">
        <f t="shared" si="12"/>
        <v>12500</v>
      </c>
      <c r="C62" s="1">
        <f>Table1[[#This Row],[taxable wages]]</f>
        <v>12500</v>
      </c>
      <c r="D62" s="1">
        <f>Table1[[#This Row],[taxable wages]]+interest+dividends+short_term_capital_gains+long_term_capital_gains</f>
        <v>12500</v>
      </c>
      <c r="E62" s="1">
        <f>MAX(Table1[[#This Row],[earned income for EITC]:[Agi For Eitc Calc]])</f>
        <v>12500</v>
      </c>
      <c r="F62" s="1">
        <f>Table1[[#This Row],[taxable wages]]+interest+dividends+short_term_capital_gains+long_term_capital_gains-(trad_ira_contributions+MIN(student_loan_interest_cap,student_loan_interest))</f>
        <v>12500</v>
      </c>
      <c r="G62" s="1">
        <f t="shared" si="8"/>
        <v>12600</v>
      </c>
      <c r="H62" s="1">
        <f t="shared" si="9"/>
        <v>28350</v>
      </c>
      <c r="I62" s="1">
        <f>MAX(0,Table1[[#This Row],[Agi]]-Table1[[#This Row],[Exemptions]]-Table1[[#This Row],[Effective Deductions]])</f>
        <v>0</v>
      </c>
      <c r="J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2" s="1">
        <f t="shared" si="10"/>
        <v>5000</v>
      </c>
      <c r="L62" s="1">
        <f>IF(Table1[[#This Row],[Agi]]&gt;ctc_phase_out_begins,ctc_phase_out_rate*(Table1[[#This Row],[Agi]]-ctc_phase_out_begins),0)</f>
        <v>0</v>
      </c>
      <c r="M62" s="1">
        <f>MAX(Table1[[#This Row],[Child Tax Credit]]-Table1[[#This Row],[Child Tax Credit Phase Out]],0)</f>
        <v>5000</v>
      </c>
      <c r="N62" s="1">
        <f>MAX(Table1[[#This Row],[Regular Taxes Owed]]-Table1[[#This Row],[Effective Child Tax Credit]],0)</f>
        <v>0</v>
      </c>
      <c r="O62" s="1">
        <f>MAX(MIN((Table1[[#This Row],[taxable wages]]-3000)*0.15,1000*num_kids_16_younger),0)</f>
        <v>1425</v>
      </c>
      <c r="P62" s="9">
        <f>IF(Table1[[#This Row],[Effective Child Tax Credit]]&gt;Table1[[#This Row],[Regular Taxes Owed]],Table1[[#This Row],[Additional Child Tax Credit ]]-Table1[[#This Row],[Regular Taxes Owed]],0)</f>
        <v>1425</v>
      </c>
      <c r="Q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5625</v>
      </c>
      <c r="R62" s="1">
        <f>Table1[[#This Row],[Effective Additional Child Tax Credit]]+Table1[[#This Row],[Eitc]]</f>
        <v>7050</v>
      </c>
      <c r="S62" s="9">
        <f>Table1[[#This Row],[Regular Taxes Owed - Effective Child Tax Credit]]-Table1[[#This Row],[Total Credits]]</f>
        <v>-7050</v>
      </c>
      <c r="T62" s="9">
        <f>Table1[[#This Row],[taxable wages]]+interest+dividends+short_term_capital_gains+long_term_capital_gains-(charitable_donations+mortgage_interest)</f>
        <v>12500</v>
      </c>
      <c r="U62" s="9">
        <f>MAX(amt_exemption-amt_exemption_phase_out_rate*MAX(Table1[[#This Row],[taxable wages]]-amt_phase_out_begins,0),0)</f>
        <v>83800</v>
      </c>
      <c r="V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2" s="1">
        <f>IF(AND(Table1[[#This Row],[AMT Taxes]]&gt;Table1[[#This Row],[Regular Taxes Owed]],Table1[[#This Row],[AMT Taxes]]&gt;0),Table1[[#This Row],[AMT Taxes]]-Table1[[#This Row],[Regular Taxes Owed]],0)</f>
        <v>0</v>
      </c>
      <c r="X62" s="9">
        <f>Table1[[#This Row],[Extra Taxes From Amt]]+Table1[[#This Row],[Federal Taxes Owed (No AMT)]]</f>
        <v>-7050</v>
      </c>
      <c r="Y62" s="9">
        <f>IF(Table1[[#This Row],[taxable wages]]&gt;obamacare_surcharge_amount,obamacare_surcharge_percent*(Table1[[#This Row],[taxable wages]]-obamacare_surcharge_amount),0)</f>
        <v>0</v>
      </c>
      <c r="Z62" s="9">
        <f>Table1[[#This Row],[Federal Taxes Owed (Includes AMT)]]+Table1[[#This Row],[Obamacare surcharge premium]]</f>
        <v>-7050</v>
      </c>
      <c r="AA62" s="9">
        <f>Table1[[#This Row],[taxable wages]]-Table1[[#This Row],[Federal Taxes Owed2]]</f>
        <v>19550</v>
      </c>
      <c r="AB62" s="51">
        <f t="shared" si="11"/>
        <v>-0.6</v>
      </c>
      <c r="AC62" s="41"/>
      <c r="AD62" s="13"/>
      <c r="AE62" s="13"/>
    </row>
    <row r="63" spans="2:37" x14ac:dyDescent="0.3">
      <c r="B63" s="41">
        <f t="shared" si="12"/>
        <v>13000</v>
      </c>
      <c r="C63" s="1">
        <f>Table1[[#This Row],[taxable wages]]</f>
        <v>13000</v>
      </c>
      <c r="D63" s="1">
        <f>Table1[[#This Row],[taxable wages]]+interest+dividends+short_term_capital_gains+long_term_capital_gains</f>
        <v>13000</v>
      </c>
      <c r="E63" s="1">
        <f>MAX(Table1[[#This Row],[earned income for EITC]:[Agi For Eitc Calc]])</f>
        <v>13000</v>
      </c>
      <c r="F63" s="1">
        <f>Table1[[#This Row],[taxable wages]]+interest+dividends+short_term_capital_gains+long_term_capital_gains-(trad_ira_contributions+MIN(student_loan_interest_cap,student_loan_interest))</f>
        <v>13000</v>
      </c>
      <c r="G63" s="1">
        <f t="shared" si="8"/>
        <v>12600</v>
      </c>
      <c r="H63" s="1">
        <f t="shared" si="9"/>
        <v>28350</v>
      </c>
      <c r="I63" s="1">
        <f>MAX(0,Table1[[#This Row],[Agi]]-Table1[[#This Row],[Exemptions]]-Table1[[#This Row],[Effective Deductions]])</f>
        <v>0</v>
      </c>
      <c r="J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3" s="1">
        <f t="shared" si="10"/>
        <v>5000</v>
      </c>
      <c r="L63" s="1">
        <f>IF(Table1[[#This Row],[Agi]]&gt;ctc_phase_out_begins,ctc_phase_out_rate*(Table1[[#This Row],[Agi]]-ctc_phase_out_begins),0)</f>
        <v>0</v>
      </c>
      <c r="M63" s="1">
        <f>MAX(Table1[[#This Row],[Child Tax Credit]]-Table1[[#This Row],[Child Tax Credit Phase Out]],0)</f>
        <v>5000</v>
      </c>
      <c r="N63" s="1">
        <f>MAX(Table1[[#This Row],[Regular Taxes Owed]]-Table1[[#This Row],[Effective Child Tax Credit]],0)</f>
        <v>0</v>
      </c>
      <c r="O63" s="1">
        <f>MAX(MIN((Table1[[#This Row],[taxable wages]]-3000)*0.15,1000*num_kids_16_younger),0)</f>
        <v>1500</v>
      </c>
      <c r="P63" s="9">
        <f>IF(Table1[[#This Row],[Effective Child Tax Credit]]&gt;Table1[[#This Row],[Regular Taxes Owed]],Table1[[#This Row],[Additional Child Tax Credit ]]-Table1[[#This Row],[Regular Taxes Owed]],0)</f>
        <v>1500</v>
      </c>
      <c r="Q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5850</v>
      </c>
      <c r="R63" s="1">
        <f>Table1[[#This Row],[Effective Additional Child Tax Credit]]+Table1[[#This Row],[Eitc]]</f>
        <v>7350</v>
      </c>
      <c r="S63" s="9">
        <f>Table1[[#This Row],[Regular Taxes Owed - Effective Child Tax Credit]]-Table1[[#This Row],[Total Credits]]</f>
        <v>-7350</v>
      </c>
      <c r="T63" s="9">
        <f>Table1[[#This Row],[taxable wages]]+interest+dividends+short_term_capital_gains+long_term_capital_gains-(charitable_donations+mortgage_interest)</f>
        <v>13000</v>
      </c>
      <c r="U63" s="9">
        <f>MAX(amt_exemption-amt_exemption_phase_out_rate*MAX(Table1[[#This Row],[taxable wages]]-amt_phase_out_begins,0),0)</f>
        <v>83800</v>
      </c>
      <c r="V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3" s="1">
        <f>IF(AND(Table1[[#This Row],[AMT Taxes]]&gt;Table1[[#This Row],[Regular Taxes Owed]],Table1[[#This Row],[AMT Taxes]]&gt;0),Table1[[#This Row],[AMT Taxes]]-Table1[[#This Row],[Regular Taxes Owed]],0)</f>
        <v>0</v>
      </c>
      <c r="X63" s="9">
        <f>Table1[[#This Row],[Extra Taxes From Amt]]+Table1[[#This Row],[Federal Taxes Owed (No AMT)]]</f>
        <v>-7350</v>
      </c>
      <c r="Y63" s="9">
        <f>IF(Table1[[#This Row],[taxable wages]]&gt;obamacare_surcharge_amount,obamacare_surcharge_percent*(Table1[[#This Row],[taxable wages]]-obamacare_surcharge_amount),0)</f>
        <v>0</v>
      </c>
      <c r="Z63" s="9">
        <f>Table1[[#This Row],[Federal Taxes Owed (Includes AMT)]]+Table1[[#This Row],[Obamacare surcharge premium]]</f>
        <v>-7350</v>
      </c>
      <c r="AA63" s="9">
        <f>Table1[[#This Row],[taxable wages]]-Table1[[#This Row],[Federal Taxes Owed2]]</f>
        <v>20350</v>
      </c>
      <c r="AB63" s="51">
        <f t="shared" si="11"/>
        <v>-0.6</v>
      </c>
      <c r="AC63" s="41"/>
      <c r="AD63" s="13"/>
      <c r="AE63" s="13"/>
    </row>
    <row r="64" spans="2:37" x14ac:dyDescent="0.3">
      <c r="B64" s="41">
        <f t="shared" si="12"/>
        <v>13500</v>
      </c>
      <c r="C64" s="1">
        <f>Table1[[#This Row],[taxable wages]]</f>
        <v>13500</v>
      </c>
      <c r="D64" s="1">
        <f>Table1[[#This Row],[taxable wages]]+interest+dividends+short_term_capital_gains+long_term_capital_gains</f>
        <v>13500</v>
      </c>
      <c r="E64" s="1">
        <f>MAX(Table1[[#This Row],[earned income for EITC]:[Agi For Eitc Calc]])</f>
        <v>13500</v>
      </c>
      <c r="F64" s="1">
        <f>Table1[[#This Row],[taxable wages]]+interest+dividends+short_term_capital_gains+long_term_capital_gains-(trad_ira_contributions+MIN(student_loan_interest_cap,student_loan_interest))</f>
        <v>13500</v>
      </c>
      <c r="G64" s="1">
        <f t="shared" si="8"/>
        <v>12600</v>
      </c>
      <c r="H64" s="1">
        <f t="shared" si="9"/>
        <v>28350</v>
      </c>
      <c r="I64" s="1">
        <f>MAX(0,Table1[[#This Row],[Agi]]-Table1[[#This Row],[Exemptions]]-Table1[[#This Row],[Effective Deductions]])</f>
        <v>0</v>
      </c>
      <c r="J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4" s="1">
        <f t="shared" si="10"/>
        <v>5000</v>
      </c>
      <c r="L64" s="1">
        <f>IF(Table1[[#This Row],[Agi]]&gt;ctc_phase_out_begins,ctc_phase_out_rate*(Table1[[#This Row],[Agi]]-ctc_phase_out_begins),0)</f>
        <v>0</v>
      </c>
      <c r="M64" s="1">
        <f>MAX(Table1[[#This Row],[Child Tax Credit]]-Table1[[#This Row],[Child Tax Credit Phase Out]],0)</f>
        <v>5000</v>
      </c>
      <c r="N64" s="1">
        <f>MAX(Table1[[#This Row],[Regular Taxes Owed]]-Table1[[#This Row],[Effective Child Tax Credit]],0)</f>
        <v>0</v>
      </c>
      <c r="O64" s="1">
        <f>MAX(MIN((Table1[[#This Row],[taxable wages]]-3000)*0.15,1000*num_kids_16_younger),0)</f>
        <v>1575</v>
      </c>
      <c r="P64" s="9">
        <f>IF(Table1[[#This Row],[Effective Child Tax Credit]]&gt;Table1[[#This Row],[Regular Taxes Owed]],Table1[[#This Row],[Additional Child Tax Credit ]]-Table1[[#This Row],[Regular Taxes Owed]],0)</f>
        <v>1575</v>
      </c>
      <c r="Q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6075</v>
      </c>
      <c r="R64" s="1">
        <f>Table1[[#This Row],[Effective Additional Child Tax Credit]]+Table1[[#This Row],[Eitc]]</f>
        <v>7650</v>
      </c>
      <c r="S64" s="9">
        <f>Table1[[#This Row],[Regular Taxes Owed - Effective Child Tax Credit]]-Table1[[#This Row],[Total Credits]]</f>
        <v>-7650</v>
      </c>
      <c r="T64" s="9">
        <f>Table1[[#This Row],[taxable wages]]+interest+dividends+short_term_capital_gains+long_term_capital_gains-(charitable_donations+mortgage_interest)</f>
        <v>13500</v>
      </c>
      <c r="U64" s="9">
        <f>MAX(amt_exemption-amt_exemption_phase_out_rate*MAX(Table1[[#This Row],[taxable wages]]-amt_phase_out_begins,0),0)</f>
        <v>83800</v>
      </c>
      <c r="V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4" s="1">
        <f>IF(AND(Table1[[#This Row],[AMT Taxes]]&gt;Table1[[#This Row],[Regular Taxes Owed]],Table1[[#This Row],[AMT Taxes]]&gt;0),Table1[[#This Row],[AMT Taxes]]-Table1[[#This Row],[Regular Taxes Owed]],0)</f>
        <v>0</v>
      </c>
      <c r="X64" s="9">
        <f>Table1[[#This Row],[Extra Taxes From Amt]]+Table1[[#This Row],[Federal Taxes Owed (No AMT)]]</f>
        <v>-7650</v>
      </c>
      <c r="Y64" s="9">
        <f>IF(Table1[[#This Row],[taxable wages]]&gt;obamacare_surcharge_amount,obamacare_surcharge_percent*(Table1[[#This Row],[taxable wages]]-obamacare_surcharge_amount),0)</f>
        <v>0</v>
      </c>
      <c r="Z64" s="9">
        <f>Table1[[#This Row],[Federal Taxes Owed (Includes AMT)]]+Table1[[#This Row],[Obamacare surcharge premium]]</f>
        <v>-7650</v>
      </c>
      <c r="AA64" s="9">
        <f>Table1[[#This Row],[taxable wages]]-Table1[[#This Row],[Federal Taxes Owed2]]</f>
        <v>21150</v>
      </c>
      <c r="AB64" s="51">
        <f t="shared" si="11"/>
        <v>-0.6</v>
      </c>
      <c r="AC64" s="41"/>
      <c r="AD64" s="13"/>
      <c r="AE64" s="13"/>
    </row>
    <row r="65" spans="2:31" x14ac:dyDescent="0.3">
      <c r="B65" s="41">
        <f t="shared" si="12"/>
        <v>14000</v>
      </c>
      <c r="C65" s="1">
        <f>Table1[[#This Row],[taxable wages]]</f>
        <v>14000</v>
      </c>
      <c r="D65" s="1">
        <f>Table1[[#This Row],[taxable wages]]+interest+dividends+short_term_capital_gains+long_term_capital_gains</f>
        <v>14000</v>
      </c>
      <c r="E65" s="1">
        <f>MAX(Table1[[#This Row],[earned income for EITC]:[Agi For Eitc Calc]])</f>
        <v>14000</v>
      </c>
      <c r="F65" s="1">
        <f>Table1[[#This Row],[taxable wages]]+interest+dividends+short_term_capital_gains+long_term_capital_gains-(trad_ira_contributions+MIN(student_loan_interest_cap,student_loan_interest))</f>
        <v>14000</v>
      </c>
      <c r="G65" s="1">
        <f t="shared" si="8"/>
        <v>12600</v>
      </c>
      <c r="H65" s="1">
        <f t="shared" si="9"/>
        <v>28350</v>
      </c>
      <c r="I65" s="1">
        <f>MAX(0,Table1[[#This Row],[Agi]]-Table1[[#This Row],[Exemptions]]-Table1[[#This Row],[Effective Deductions]])</f>
        <v>0</v>
      </c>
      <c r="J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5" s="1">
        <f t="shared" si="10"/>
        <v>5000</v>
      </c>
      <c r="L65" s="1">
        <f>IF(Table1[[#This Row],[Agi]]&gt;ctc_phase_out_begins,ctc_phase_out_rate*(Table1[[#This Row],[Agi]]-ctc_phase_out_begins),0)</f>
        <v>0</v>
      </c>
      <c r="M65" s="1">
        <f>MAX(Table1[[#This Row],[Child Tax Credit]]-Table1[[#This Row],[Child Tax Credit Phase Out]],0)</f>
        <v>5000</v>
      </c>
      <c r="N65" s="1">
        <f>MAX(Table1[[#This Row],[Regular Taxes Owed]]-Table1[[#This Row],[Effective Child Tax Credit]],0)</f>
        <v>0</v>
      </c>
      <c r="O65" s="1">
        <f>MAX(MIN((Table1[[#This Row],[taxable wages]]-3000)*0.15,1000*num_kids_16_younger),0)</f>
        <v>1650</v>
      </c>
      <c r="P65" s="9">
        <f>IF(Table1[[#This Row],[Effective Child Tax Credit]]&gt;Table1[[#This Row],[Regular Taxes Owed]],Table1[[#This Row],[Additional Child Tax Credit ]]-Table1[[#This Row],[Regular Taxes Owed]],0)</f>
        <v>1650</v>
      </c>
      <c r="Q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65" s="1">
        <f>Table1[[#This Row],[Effective Additional Child Tax Credit]]+Table1[[#This Row],[Eitc]]</f>
        <v>7919</v>
      </c>
      <c r="S65" s="9">
        <f>Table1[[#This Row],[Regular Taxes Owed - Effective Child Tax Credit]]-Table1[[#This Row],[Total Credits]]</f>
        <v>-7919</v>
      </c>
      <c r="T65" s="9">
        <f>Table1[[#This Row],[taxable wages]]+interest+dividends+short_term_capital_gains+long_term_capital_gains-(charitable_donations+mortgage_interest)</f>
        <v>14000</v>
      </c>
      <c r="U65" s="9">
        <f>MAX(amt_exemption-amt_exemption_phase_out_rate*MAX(Table1[[#This Row],[taxable wages]]-amt_phase_out_begins,0),0)</f>
        <v>83800</v>
      </c>
      <c r="V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5" s="1">
        <f>IF(AND(Table1[[#This Row],[AMT Taxes]]&gt;Table1[[#This Row],[Regular Taxes Owed]],Table1[[#This Row],[AMT Taxes]]&gt;0),Table1[[#This Row],[AMT Taxes]]-Table1[[#This Row],[Regular Taxes Owed]],0)</f>
        <v>0</v>
      </c>
      <c r="X65" s="9">
        <f>Table1[[#This Row],[Extra Taxes From Amt]]+Table1[[#This Row],[Federal Taxes Owed (No AMT)]]</f>
        <v>-7919</v>
      </c>
      <c r="Y65" s="9">
        <f>IF(Table1[[#This Row],[taxable wages]]&gt;obamacare_surcharge_amount,obamacare_surcharge_percent*(Table1[[#This Row],[taxable wages]]-obamacare_surcharge_amount),0)</f>
        <v>0</v>
      </c>
      <c r="Z65" s="9">
        <f>Table1[[#This Row],[Federal Taxes Owed (Includes AMT)]]+Table1[[#This Row],[Obamacare surcharge premium]]</f>
        <v>-7919</v>
      </c>
      <c r="AA65" s="9">
        <f>Table1[[#This Row],[taxable wages]]-Table1[[#This Row],[Federal Taxes Owed2]]</f>
        <v>21919</v>
      </c>
      <c r="AB65" s="51">
        <f t="shared" si="11"/>
        <v>-0.53800000000000003</v>
      </c>
      <c r="AC65" s="41"/>
      <c r="AD65" s="13"/>
      <c r="AE65" s="13"/>
    </row>
    <row r="66" spans="2:31" x14ac:dyDescent="0.3">
      <c r="B66" s="41">
        <f t="shared" si="12"/>
        <v>14500</v>
      </c>
      <c r="C66" s="1">
        <f>Table1[[#This Row],[taxable wages]]</f>
        <v>14500</v>
      </c>
      <c r="D66" s="1">
        <f>Table1[[#This Row],[taxable wages]]+interest+dividends+short_term_capital_gains+long_term_capital_gains</f>
        <v>14500</v>
      </c>
      <c r="E66" s="1">
        <f>MAX(Table1[[#This Row],[earned income for EITC]:[Agi For Eitc Calc]])</f>
        <v>14500</v>
      </c>
      <c r="F66" s="1">
        <f>Table1[[#This Row],[taxable wages]]+interest+dividends+short_term_capital_gains+long_term_capital_gains-(trad_ira_contributions+MIN(student_loan_interest_cap,student_loan_interest))</f>
        <v>14500</v>
      </c>
      <c r="G66" s="1">
        <f t="shared" si="8"/>
        <v>12600</v>
      </c>
      <c r="H66" s="1">
        <f t="shared" si="9"/>
        <v>28350</v>
      </c>
      <c r="I66" s="1">
        <f>MAX(0,Table1[[#This Row],[Agi]]-Table1[[#This Row],[Exemptions]]-Table1[[#This Row],[Effective Deductions]])</f>
        <v>0</v>
      </c>
      <c r="J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6" s="1">
        <f t="shared" si="10"/>
        <v>5000</v>
      </c>
      <c r="L66" s="1">
        <f>IF(Table1[[#This Row],[Agi]]&gt;ctc_phase_out_begins,ctc_phase_out_rate*(Table1[[#This Row],[Agi]]-ctc_phase_out_begins),0)</f>
        <v>0</v>
      </c>
      <c r="M66" s="1">
        <f>MAX(Table1[[#This Row],[Child Tax Credit]]-Table1[[#This Row],[Child Tax Credit Phase Out]],0)</f>
        <v>5000</v>
      </c>
      <c r="N66" s="1">
        <f>MAX(Table1[[#This Row],[Regular Taxes Owed]]-Table1[[#This Row],[Effective Child Tax Credit]],0)</f>
        <v>0</v>
      </c>
      <c r="O66" s="1">
        <f>MAX(MIN((Table1[[#This Row],[taxable wages]]-3000)*0.15,1000*num_kids_16_younger),0)</f>
        <v>1725</v>
      </c>
      <c r="P66" s="9">
        <f>IF(Table1[[#This Row],[Effective Child Tax Credit]]&gt;Table1[[#This Row],[Regular Taxes Owed]],Table1[[#This Row],[Additional Child Tax Credit ]]-Table1[[#This Row],[Regular Taxes Owed]],0)</f>
        <v>1725</v>
      </c>
      <c r="Q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66" s="1">
        <f>Table1[[#This Row],[Effective Additional Child Tax Credit]]+Table1[[#This Row],[Eitc]]</f>
        <v>7994</v>
      </c>
      <c r="S66" s="9">
        <f>Table1[[#This Row],[Regular Taxes Owed - Effective Child Tax Credit]]-Table1[[#This Row],[Total Credits]]</f>
        <v>-7994</v>
      </c>
      <c r="T66" s="9">
        <f>Table1[[#This Row],[taxable wages]]+interest+dividends+short_term_capital_gains+long_term_capital_gains-(charitable_donations+mortgage_interest)</f>
        <v>14500</v>
      </c>
      <c r="U66" s="9">
        <f>MAX(amt_exemption-amt_exemption_phase_out_rate*MAX(Table1[[#This Row],[taxable wages]]-amt_phase_out_begins,0),0)</f>
        <v>83800</v>
      </c>
      <c r="V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6" s="1">
        <f>IF(AND(Table1[[#This Row],[AMT Taxes]]&gt;Table1[[#This Row],[Regular Taxes Owed]],Table1[[#This Row],[AMT Taxes]]&gt;0),Table1[[#This Row],[AMT Taxes]]-Table1[[#This Row],[Regular Taxes Owed]],0)</f>
        <v>0</v>
      </c>
      <c r="X66" s="9">
        <f>Table1[[#This Row],[Extra Taxes From Amt]]+Table1[[#This Row],[Federal Taxes Owed (No AMT)]]</f>
        <v>-7994</v>
      </c>
      <c r="Y66" s="9">
        <f>IF(Table1[[#This Row],[taxable wages]]&gt;obamacare_surcharge_amount,obamacare_surcharge_percent*(Table1[[#This Row],[taxable wages]]-obamacare_surcharge_amount),0)</f>
        <v>0</v>
      </c>
      <c r="Z66" s="9">
        <f>Table1[[#This Row],[Federal Taxes Owed (Includes AMT)]]+Table1[[#This Row],[Obamacare surcharge premium]]</f>
        <v>-7994</v>
      </c>
      <c r="AA66" s="9">
        <f>Table1[[#This Row],[taxable wages]]-Table1[[#This Row],[Federal Taxes Owed2]]</f>
        <v>22494</v>
      </c>
      <c r="AB66" s="51">
        <f t="shared" si="11"/>
        <v>-0.15</v>
      </c>
      <c r="AC66" s="41"/>
      <c r="AD66" s="13"/>
      <c r="AE66" s="13"/>
    </row>
    <row r="67" spans="2:31" x14ac:dyDescent="0.3">
      <c r="B67" s="41">
        <f t="shared" si="12"/>
        <v>15000</v>
      </c>
      <c r="C67" s="1">
        <f>Table1[[#This Row],[taxable wages]]</f>
        <v>15000</v>
      </c>
      <c r="D67" s="1">
        <f>Table1[[#This Row],[taxable wages]]+interest+dividends+short_term_capital_gains+long_term_capital_gains</f>
        <v>15000</v>
      </c>
      <c r="E67" s="1">
        <f>MAX(Table1[[#This Row],[earned income for EITC]:[Agi For Eitc Calc]])</f>
        <v>15000</v>
      </c>
      <c r="F67" s="1">
        <f>Table1[[#This Row],[taxable wages]]+interest+dividends+short_term_capital_gains+long_term_capital_gains-(trad_ira_contributions+MIN(student_loan_interest_cap,student_loan_interest))</f>
        <v>15000</v>
      </c>
      <c r="G67" s="1">
        <f t="shared" si="8"/>
        <v>12600</v>
      </c>
      <c r="H67" s="1">
        <f t="shared" si="9"/>
        <v>28350</v>
      </c>
      <c r="I67" s="1">
        <f>MAX(0,Table1[[#This Row],[Agi]]-Table1[[#This Row],[Exemptions]]-Table1[[#This Row],[Effective Deductions]])</f>
        <v>0</v>
      </c>
      <c r="J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7" s="1">
        <f t="shared" si="10"/>
        <v>5000</v>
      </c>
      <c r="L67" s="1">
        <f>IF(Table1[[#This Row],[Agi]]&gt;ctc_phase_out_begins,ctc_phase_out_rate*(Table1[[#This Row],[Agi]]-ctc_phase_out_begins),0)</f>
        <v>0</v>
      </c>
      <c r="M67" s="1">
        <f>MAX(Table1[[#This Row],[Child Tax Credit]]-Table1[[#This Row],[Child Tax Credit Phase Out]],0)</f>
        <v>5000</v>
      </c>
      <c r="N67" s="1">
        <f>MAX(Table1[[#This Row],[Regular Taxes Owed]]-Table1[[#This Row],[Effective Child Tax Credit]],0)</f>
        <v>0</v>
      </c>
      <c r="O67" s="1">
        <f>MAX(MIN((Table1[[#This Row],[taxable wages]]-3000)*0.15,1000*num_kids_16_younger),0)</f>
        <v>1800</v>
      </c>
      <c r="P67" s="9">
        <f>IF(Table1[[#This Row],[Effective Child Tax Credit]]&gt;Table1[[#This Row],[Regular Taxes Owed]],Table1[[#This Row],[Additional Child Tax Credit ]]-Table1[[#This Row],[Regular Taxes Owed]],0)</f>
        <v>1800</v>
      </c>
      <c r="Q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67" s="1">
        <f>Table1[[#This Row],[Effective Additional Child Tax Credit]]+Table1[[#This Row],[Eitc]]</f>
        <v>8069</v>
      </c>
      <c r="S67" s="9">
        <f>Table1[[#This Row],[Regular Taxes Owed - Effective Child Tax Credit]]-Table1[[#This Row],[Total Credits]]</f>
        <v>-8069</v>
      </c>
      <c r="T67" s="9">
        <f>Table1[[#This Row],[taxable wages]]+interest+dividends+short_term_capital_gains+long_term_capital_gains-(charitable_donations+mortgage_interest)</f>
        <v>15000</v>
      </c>
      <c r="U67" s="9">
        <f>MAX(amt_exemption-amt_exemption_phase_out_rate*MAX(Table1[[#This Row],[taxable wages]]-amt_phase_out_begins,0),0)</f>
        <v>83800</v>
      </c>
      <c r="V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7" s="1">
        <f>IF(AND(Table1[[#This Row],[AMT Taxes]]&gt;Table1[[#This Row],[Regular Taxes Owed]],Table1[[#This Row],[AMT Taxes]]&gt;0),Table1[[#This Row],[AMT Taxes]]-Table1[[#This Row],[Regular Taxes Owed]],0)</f>
        <v>0</v>
      </c>
      <c r="X67" s="9">
        <f>Table1[[#This Row],[Extra Taxes From Amt]]+Table1[[#This Row],[Federal Taxes Owed (No AMT)]]</f>
        <v>-8069</v>
      </c>
      <c r="Y67" s="9">
        <f>IF(Table1[[#This Row],[taxable wages]]&gt;obamacare_surcharge_amount,obamacare_surcharge_percent*(Table1[[#This Row],[taxable wages]]-obamacare_surcharge_amount),0)</f>
        <v>0</v>
      </c>
      <c r="Z67" s="9">
        <f>Table1[[#This Row],[Federal Taxes Owed (Includes AMT)]]+Table1[[#This Row],[Obamacare surcharge premium]]</f>
        <v>-8069</v>
      </c>
      <c r="AA67" s="9">
        <f>Table1[[#This Row],[taxable wages]]-Table1[[#This Row],[Federal Taxes Owed2]]</f>
        <v>23069</v>
      </c>
      <c r="AB67" s="51">
        <f t="shared" si="11"/>
        <v>-0.15</v>
      </c>
      <c r="AC67" s="41"/>
      <c r="AD67" s="13"/>
      <c r="AE67" s="13"/>
    </row>
    <row r="68" spans="2:31" x14ac:dyDescent="0.3">
      <c r="B68" s="41">
        <f t="shared" si="12"/>
        <v>15500</v>
      </c>
      <c r="C68" s="1">
        <f>Table1[[#This Row],[taxable wages]]</f>
        <v>15500</v>
      </c>
      <c r="D68" s="1">
        <f>Table1[[#This Row],[taxable wages]]+interest+dividends+short_term_capital_gains+long_term_capital_gains</f>
        <v>15500</v>
      </c>
      <c r="E68" s="1">
        <f>MAX(Table1[[#This Row],[earned income for EITC]:[Agi For Eitc Calc]])</f>
        <v>15500</v>
      </c>
      <c r="F68" s="1">
        <f>Table1[[#This Row],[taxable wages]]+interest+dividends+short_term_capital_gains+long_term_capital_gains-(trad_ira_contributions+MIN(student_loan_interest_cap,student_loan_interest))</f>
        <v>15500</v>
      </c>
      <c r="G68" s="1">
        <f t="shared" si="8"/>
        <v>12600</v>
      </c>
      <c r="H68" s="1">
        <f t="shared" si="9"/>
        <v>28350</v>
      </c>
      <c r="I68" s="1">
        <f>MAX(0,Table1[[#This Row],[Agi]]-Table1[[#This Row],[Exemptions]]-Table1[[#This Row],[Effective Deductions]])</f>
        <v>0</v>
      </c>
      <c r="J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8" s="1">
        <f t="shared" si="10"/>
        <v>5000</v>
      </c>
      <c r="L68" s="1">
        <f>IF(Table1[[#This Row],[Agi]]&gt;ctc_phase_out_begins,ctc_phase_out_rate*(Table1[[#This Row],[Agi]]-ctc_phase_out_begins),0)</f>
        <v>0</v>
      </c>
      <c r="M68" s="1">
        <f>MAX(Table1[[#This Row],[Child Tax Credit]]-Table1[[#This Row],[Child Tax Credit Phase Out]],0)</f>
        <v>5000</v>
      </c>
      <c r="N68" s="1">
        <f>MAX(Table1[[#This Row],[Regular Taxes Owed]]-Table1[[#This Row],[Effective Child Tax Credit]],0)</f>
        <v>0</v>
      </c>
      <c r="O68" s="1">
        <f>MAX(MIN((Table1[[#This Row],[taxable wages]]-3000)*0.15,1000*num_kids_16_younger),0)</f>
        <v>1875</v>
      </c>
      <c r="P68" s="9">
        <f>IF(Table1[[#This Row],[Effective Child Tax Credit]]&gt;Table1[[#This Row],[Regular Taxes Owed]],Table1[[#This Row],[Additional Child Tax Credit ]]-Table1[[#This Row],[Regular Taxes Owed]],0)</f>
        <v>1875</v>
      </c>
      <c r="Q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68" s="1">
        <f>Table1[[#This Row],[Effective Additional Child Tax Credit]]+Table1[[#This Row],[Eitc]]</f>
        <v>8144</v>
      </c>
      <c r="S68" s="9">
        <f>Table1[[#This Row],[Regular Taxes Owed - Effective Child Tax Credit]]-Table1[[#This Row],[Total Credits]]</f>
        <v>-8144</v>
      </c>
      <c r="T68" s="9">
        <f>Table1[[#This Row],[taxable wages]]+interest+dividends+short_term_capital_gains+long_term_capital_gains-(charitable_donations+mortgage_interest)</f>
        <v>15500</v>
      </c>
      <c r="U68" s="9">
        <f>MAX(amt_exemption-amt_exemption_phase_out_rate*MAX(Table1[[#This Row],[taxable wages]]-amt_phase_out_begins,0),0)</f>
        <v>83800</v>
      </c>
      <c r="V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8" s="1">
        <f>IF(AND(Table1[[#This Row],[AMT Taxes]]&gt;Table1[[#This Row],[Regular Taxes Owed]],Table1[[#This Row],[AMT Taxes]]&gt;0),Table1[[#This Row],[AMT Taxes]]-Table1[[#This Row],[Regular Taxes Owed]],0)</f>
        <v>0</v>
      </c>
      <c r="X68" s="9">
        <f>Table1[[#This Row],[Extra Taxes From Amt]]+Table1[[#This Row],[Federal Taxes Owed (No AMT)]]</f>
        <v>-8144</v>
      </c>
      <c r="Y68" s="9">
        <f>IF(Table1[[#This Row],[taxable wages]]&gt;obamacare_surcharge_amount,obamacare_surcharge_percent*(Table1[[#This Row],[taxable wages]]-obamacare_surcharge_amount),0)</f>
        <v>0</v>
      </c>
      <c r="Z68" s="9">
        <f>Table1[[#This Row],[Federal Taxes Owed (Includes AMT)]]+Table1[[#This Row],[Obamacare surcharge premium]]</f>
        <v>-8144</v>
      </c>
      <c r="AA68" s="9">
        <f>Table1[[#This Row],[taxable wages]]-Table1[[#This Row],[Federal Taxes Owed2]]</f>
        <v>23644</v>
      </c>
      <c r="AB68" s="51">
        <f t="shared" si="11"/>
        <v>-0.15</v>
      </c>
      <c r="AC68" s="41"/>
      <c r="AD68" s="13"/>
      <c r="AE68" s="13"/>
    </row>
    <row r="69" spans="2:31" x14ac:dyDescent="0.3">
      <c r="B69" s="41">
        <f t="shared" si="12"/>
        <v>16000</v>
      </c>
      <c r="C69" s="1">
        <f>Table1[[#This Row],[taxable wages]]</f>
        <v>16000</v>
      </c>
      <c r="D69" s="1">
        <f>Table1[[#This Row],[taxable wages]]+interest+dividends+short_term_capital_gains+long_term_capital_gains</f>
        <v>16000</v>
      </c>
      <c r="E69" s="1">
        <f>MAX(Table1[[#This Row],[earned income for EITC]:[Agi For Eitc Calc]])</f>
        <v>16000</v>
      </c>
      <c r="F69" s="1">
        <f>Table1[[#This Row],[taxable wages]]+interest+dividends+short_term_capital_gains+long_term_capital_gains-(trad_ira_contributions+MIN(student_loan_interest_cap,student_loan_interest))</f>
        <v>16000</v>
      </c>
      <c r="G69" s="1">
        <f t="shared" si="8"/>
        <v>12600</v>
      </c>
      <c r="H69" s="1">
        <f t="shared" si="9"/>
        <v>28350</v>
      </c>
      <c r="I69" s="1">
        <f>MAX(0,Table1[[#This Row],[Agi]]-Table1[[#This Row],[Exemptions]]-Table1[[#This Row],[Effective Deductions]])</f>
        <v>0</v>
      </c>
      <c r="J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69" s="1">
        <f t="shared" si="10"/>
        <v>5000</v>
      </c>
      <c r="L69" s="1">
        <f>IF(Table1[[#This Row],[Agi]]&gt;ctc_phase_out_begins,ctc_phase_out_rate*(Table1[[#This Row],[Agi]]-ctc_phase_out_begins),0)</f>
        <v>0</v>
      </c>
      <c r="M69" s="1">
        <f>MAX(Table1[[#This Row],[Child Tax Credit]]-Table1[[#This Row],[Child Tax Credit Phase Out]],0)</f>
        <v>5000</v>
      </c>
      <c r="N69" s="1">
        <f>MAX(Table1[[#This Row],[Regular Taxes Owed]]-Table1[[#This Row],[Effective Child Tax Credit]],0)</f>
        <v>0</v>
      </c>
      <c r="O69" s="1">
        <f>MAX(MIN((Table1[[#This Row],[taxable wages]]-3000)*0.15,1000*num_kids_16_younger),0)</f>
        <v>1950</v>
      </c>
      <c r="P69" s="9">
        <f>IF(Table1[[#This Row],[Effective Child Tax Credit]]&gt;Table1[[#This Row],[Regular Taxes Owed]],Table1[[#This Row],[Additional Child Tax Credit ]]-Table1[[#This Row],[Regular Taxes Owed]],0)</f>
        <v>1950</v>
      </c>
      <c r="Q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69" s="1">
        <f>Table1[[#This Row],[Effective Additional Child Tax Credit]]+Table1[[#This Row],[Eitc]]</f>
        <v>8219</v>
      </c>
      <c r="S69" s="9">
        <f>Table1[[#This Row],[Regular Taxes Owed - Effective Child Tax Credit]]-Table1[[#This Row],[Total Credits]]</f>
        <v>-8219</v>
      </c>
      <c r="T69" s="9">
        <f>Table1[[#This Row],[taxable wages]]+interest+dividends+short_term_capital_gains+long_term_capital_gains-(charitable_donations+mortgage_interest)</f>
        <v>16000</v>
      </c>
      <c r="U69" s="9">
        <f>MAX(amt_exemption-amt_exemption_phase_out_rate*MAX(Table1[[#This Row],[taxable wages]]-amt_phase_out_begins,0),0)</f>
        <v>83800</v>
      </c>
      <c r="V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69" s="1">
        <f>IF(AND(Table1[[#This Row],[AMT Taxes]]&gt;Table1[[#This Row],[Regular Taxes Owed]],Table1[[#This Row],[AMT Taxes]]&gt;0),Table1[[#This Row],[AMT Taxes]]-Table1[[#This Row],[Regular Taxes Owed]],0)</f>
        <v>0</v>
      </c>
      <c r="X69" s="9">
        <f>Table1[[#This Row],[Extra Taxes From Amt]]+Table1[[#This Row],[Federal Taxes Owed (No AMT)]]</f>
        <v>-8219</v>
      </c>
      <c r="Y69" s="9">
        <f>IF(Table1[[#This Row],[taxable wages]]&gt;obamacare_surcharge_amount,obamacare_surcharge_percent*(Table1[[#This Row],[taxable wages]]-obamacare_surcharge_amount),0)</f>
        <v>0</v>
      </c>
      <c r="Z69" s="9">
        <f>Table1[[#This Row],[Federal Taxes Owed (Includes AMT)]]+Table1[[#This Row],[Obamacare surcharge premium]]</f>
        <v>-8219</v>
      </c>
      <c r="AA69" s="9">
        <f>Table1[[#This Row],[taxable wages]]-Table1[[#This Row],[Federal Taxes Owed2]]</f>
        <v>24219</v>
      </c>
      <c r="AB69" s="51">
        <f t="shared" si="11"/>
        <v>-0.15</v>
      </c>
      <c r="AC69" s="41"/>
      <c r="AD69" s="13"/>
      <c r="AE69" s="13"/>
    </row>
    <row r="70" spans="2:31" x14ac:dyDescent="0.3">
      <c r="B70" s="41">
        <f t="shared" si="12"/>
        <v>16500</v>
      </c>
      <c r="C70" s="1">
        <f>Table1[[#This Row],[taxable wages]]</f>
        <v>16500</v>
      </c>
      <c r="D70" s="1">
        <f>Table1[[#This Row],[taxable wages]]+interest+dividends+short_term_capital_gains+long_term_capital_gains</f>
        <v>16500</v>
      </c>
      <c r="E70" s="1">
        <f>MAX(Table1[[#This Row],[earned income for EITC]:[Agi For Eitc Calc]])</f>
        <v>16500</v>
      </c>
      <c r="F70" s="1">
        <f>Table1[[#This Row],[taxable wages]]+interest+dividends+short_term_capital_gains+long_term_capital_gains-(trad_ira_contributions+MIN(student_loan_interest_cap,student_loan_interest))</f>
        <v>16500</v>
      </c>
      <c r="G70" s="1">
        <f t="shared" si="8"/>
        <v>12600</v>
      </c>
      <c r="H70" s="1">
        <f t="shared" si="9"/>
        <v>28350</v>
      </c>
      <c r="I70" s="1">
        <f>MAX(0,Table1[[#This Row],[Agi]]-Table1[[#This Row],[Exemptions]]-Table1[[#This Row],[Effective Deductions]])</f>
        <v>0</v>
      </c>
      <c r="J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0" s="1">
        <f t="shared" si="10"/>
        <v>5000</v>
      </c>
      <c r="L70" s="1">
        <f>IF(Table1[[#This Row],[Agi]]&gt;ctc_phase_out_begins,ctc_phase_out_rate*(Table1[[#This Row],[Agi]]-ctc_phase_out_begins),0)</f>
        <v>0</v>
      </c>
      <c r="M70" s="1">
        <f>MAX(Table1[[#This Row],[Child Tax Credit]]-Table1[[#This Row],[Child Tax Credit Phase Out]],0)</f>
        <v>5000</v>
      </c>
      <c r="N70" s="1">
        <f>MAX(Table1[[#This Row],[Regular Taxes Owed]]-Table1[[#This Row],[Effective Child Tax Credit]],0)</f>
        <v>0</v>
      </c>
      <c r="O70" s="1">
        <f>MAX(MIN((Table1[[#This Row],[taxable wages]]-3000)*0.15,1000*num_kids_16_younger),0)</f>
        <v>2025</v>
      </c>
      <c r="P70" s="9">
        <f>IF(Table1[[#This Row],[Effective Child Tax Credit]]&gt;Table1[[#This Row],[Regular Taxes Owed]],Table1[[#This Row],[Additional Child Tax Credit ]]-Table1[[#This Row],[Regular Taxes Owed]],0)</f>
        <v>2025</v>
      </c>
      <c r="Q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0" s="1">
        <f>Table1[[#This Row],[Effective Additional Child Tax Credit]]+Table1[[#This Row],[Eitc]]</f>
        <v>8294</v>
      </c>
      <c r="S70" s="9">
        <f>Table1[[#This Row],[Regular Taxes Owed - Effective Child Tax Credit]]-Table1[[#This Row],[Total Credits]]</f>
        <v>-8294</v>
      </c>
      <c r="T70" s="9">
        <f>Table1[[#This Row],[taxable wages]]+interest+dividends+short_term_capital_gains+long_term_capital_gains-(charitable_donations+mortgage_interest)</f>
        <v>16500</v>
      </c>
      <c r="U70" s="9">
        <f>MAX(amt_exemption-amt_exemption_phase_out_rate*MAX(Table1[[#This Row],[taxable wages]]-amt_phase_out_begins,0),0)</f>
        <v>83800</v>
      </c>
      <c r="V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0" s="1">
        <f>IF(AND(Table1[[#This Row],[AMT Taxes]]&gt;Table1[[#This Row],[Regular Taxes Owed]],Table1[[#This Row],[AMT Taxes]]&gt;0),Table1[[#This Row],[AMT Taxes]]-Table1[[#This Row],[Regular Taxes Owed]],0)</f>
        <v>0</v>
      </c>
      <c r="X70" s="9">
        <f>Table1[[#This Row],[Extra Taxes From Amt]]+Table1[[#This Row],[Federal Taxes Owed (No AMT)]]</f>
        <v>-8294</v>
      </c>
      <c r="Y70" s="9">
        <f>IF(Table1[[#This Row],[taxable wages]]&gt;obamacare_surcharge_amount,obamacare_surcharge_percent*(Table1[[#This Row],[taxable wages]]-obamacare_surcharge_amount),0)</f>
        <v>0</v>
      </c>
      <c r="Z70" s="9">
        <f>Table1[[#This Row],[Federal Taxes Owed (Includes AMT)]]+Table1[[#This Row],[Obamacare surcharge premium]]</f>
        <v>-8294</v>
      </c>
      <c r="AA70" s="9">
        <f>Table1[[#This Row],[taxable wages]]-Table1[[#This Row],[Federal Taxes Owed2]]</f>
        <v>24794</v>
      </c>
      <c r="AB70" s="51">
        <f t="shared" si="11"/>
        <v>-0.15</v>
      </c>
      <c r="AC70" s="41"/>
      <c r="AD70" s="13"/>
      <c r="AE70" s="13"/>
    </row>
    <row r="71" spans="2:31" x14ac:dyDescent="0.3">
      <c r="B71" s="41">
        <f t="shared" si="12"/>
        <v>17000</v>
      </c>
      <c r="C71" s="1">
        <f>Table1[[#This Row],[taxable wages]]</f>
        <v>17000</v>
      </c>
      <c r="D71" s="1">
        <f>Table1[[#This Row],[taxable wages]]+interest+dividends+short_term_capital_gains+long_term_capital_gains</f>
        <v>17000</v>
      </c>
      <c r="E71" s="1">
        <f>MAX(Table1[[#This Row],[earned income for EITC]:[Agi For Eitc Calc]])</f>
        <v>17000</v>
      </c>
      <c r="F71" s="1">
        <f>Table1[[#This Row],[taxable wages]]+interest+dividends+short_term_capital_gains+long_term_capital_gains-(trad_ira_contributions+MIN(student_loan_interest_cap,student_loan_interest))</f>
        <v>17000</v>
      </c>
      <c r="G71" s="1">
        <f t="shared" si="8"/>
        <v>12600</v>
      </c>
      <c r="H71" s="1">
        <f t="shared" si="9"/>
        <v>28350</v>
      </c>
      <c r="I71" s="1">
        <f>MAX(0,Table1[[#This Row],[Agi]]-Table1[[#This Row],[Exemptions]]-Table1[[#This Row],[Effective Deductions]])</f>
        <v>0</v>
      </c>
      <c r="J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1" s="1">
        <f t="shared" si="10"/>
        <v>5000</v>
      </c>
      <c r="L71" s="1">
        <f>IF(Table1[[#This Row],[Agi]]&gt;ctc_phase_out_begins,ctc_phase_out_rate*(Table1[[#This Row],[Agi]]-ctc_phase_out_begins),0)</f>
        <v>0</v>
      </c>
      <c r="M71" s="1">
        <f>MAX(Table1[[#This Row],[Child Tax Credit]]-Table1[[#This Row],[Child Tax Credit Phase Out]],0)</f>
        <v>5000</v>
      </c>
      <c r="N71" s="1">
        <f>MAX(Table1[[#This Row],[Regular Taxes Owed]]-Table1[[#This Row],[Effective Child Tax Credit]],0)</f>
        <v>0</v>
      </c>
      <c r="O71" s="1">
        <f>MAX(MIN((Table1[[#This Row],[taxable wages]]-3000)*0.15,1000*num_kids_16_younger),0)</f>
        <v>2100</v>
      </c>
      <c r="P71" s="9">
        <f>IF(Table1[[#This Row],[Effective Child Tax Credit]]&gt;Table1[[#This Row],[Regular Taxes Owed]],Table1[[#This Row],[Additional Child Tax Credit ]]-Table1[[#This Row],[Regular Taxes Owed]],0)</f>
        <v>2100</v>
      </c>
      <c r="Q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1" s="1">
        <f>Table1[[#This Row],[Effective Additional Child Tax Credit]]+Table1[[#This Row],[Eitc]]</f>
        <v>8369</v>
      </c>
      <c r="S71" s="9">
        <f>Table1[[#This Row],[Regular Taxes Owed - Effective Child Tax Credit]]-Table1[[#This Row],[Total Credits]]</f>
        <v>-8369</v>
      </c>
      <c r="T71" s="9">
        <f>Table1[[#This Row],[taxable wages]]+interest+dividends+short_term_capital_gains+long_term_capital_gains-(charitable_donations+mortgage_interest)</f>
        <v>17000</v>
      </c>
      <c r="U71" s="9">
        <f>MAX(amt_exemption-amt_exemption_phase_out_rate*MAX(Table1[[#This Row],[taxable wages]]-amt_phase_out_begins,0),0)</f>
        <v>83800</v>
      </c>
      <c r="V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1" s="1">
        <f>IF(AND(Table1[[#This Row],[AMT Taxes]]&gt;Table1[[#This Row],[Regular Taxes Owed]],Table1[[#This Row],[AMT Taxes]]&gt;0),Table1[[#This Row],[AMT Taxes]]-Table1[[#This Row],[Regular Taxes Owed]],0)</f>
        <v>0</v>
      </c>
      <c r="X71" s="9">
        <f>Table1[[#This Row],[Extra Taxes From Amt]]+Table1[[#This Row],[Federal Taxes Owed (No AMT)]]</f>
        <v>-8369</v>
      </c>
      <c r="Y71" s="9">
        <f>IF(Table1[[#This Row],[taxable wages]]&gt;obamacare_surcharge_amount,obamacare_surcharge_percent*(Table1[[#This Row],[taxable wages]]-obamacare_surcharge_amount),0)</f>
        <v>0</v>
      </c>
      <c r="Z71" s="9">
        <f>Table1[[#This Row],[Federal Taxes Owed (Includes AMT)]]+Table1[[#This Row],[Obamacare surcharge premium]]</f>
        <v>-8369</v>
      </c>
      <c r="AA71" s="9">
        <f>Table1[[#This Row],[taxable wages]]-Table1[[#This Row],[Federal Taxes Owed2]]</f>
        <v>25369</v>
      </c>
      <c r="AB71" s="51">
        <f t="shared" si="11"/>
        <v>-0.15</v>
      </c>
      <c r="AC71" s="41"/>
      <c r="AD71" s="13"/>
      <c r="AE71" s="13"/>
    </row>
    <row r="72" spans="2:31" x14ac:dyDescent="0.3">
      <c r="B72" s="41">
        <f t="shared" si="12"/>
        <v>17500</v>
      </c>
      <c r="C72" s="1">
        <f>Table1[[#This Row],[taxable wages]]</f>
        <v>17500</v>
      </c>
      <c r="D72" s="1">
        <f>Table1[[#This Row],[taxable wages]]+interest+dividends+short_term_capital_gains+long_term_capital_gains</f>
        <v>17500</v>
      </c>
      <c r="E72" s="1">
        <f>MAX(Table1[[#This Row],[earned income for EITC]:[Agi For Eitc Calc]])</f>
        <v>17500</v>
      </c>
      <c r="F72" s="1">
        <f>Table1[[#This Row],[taxable wages]]+interest+dividends+short_term_capital_gains+long_term_capital_gains-(trad_ira_contributions+MIN(student_loan_interest_cap,student_loan_interest))</f>
        <v>17500</v>
      </c>
      <c r="G72" s="1">
        <f t="shared" si="8"/>
        <v>12600</v>
      </c>
      <c r="H72" s="1">
        <f t="shared" si="9"/>
        <v>28350</v>
      </c>
      <c r="I72" s="1">
        <f>MAX(0,Table1[[#This Row],[Agi]]-Table1[[#This Row],[Exemptions]]-Table1[[#This Row],[Effective Deductions]])</f>
        <v>0</v>
      </c>
      <c r="J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2" s="1">
        <f t="shared" si="10"/>
        <v>5000</v>
      </c>
      <c r="L72" s="1">
        <f>IF(Table1[[#This Row],[Agi]]&gt;ctc_phase_out_begins,ctc_phase_out_rate*(Table1[[#This Row],[Agi]]-ctc_phase_out_begins),0)</f>
        <v>0</v>
      </c>
      <c r="M72" s="1">
        <f>MAX(Table1[[#This Row],[Child Tax Credit]]-Table1[[#This Row],[Child Tax Credit Phase Out]],0)</f>
        <v>5000</v>
      </c>
      <c r="N72" s="1">
        <f>MAX(Table1[[#This Row],[Regular Taxes Owed]]-Table1[[#This Row],[Effective Child Tax Credit]],0)</f>
        <v>0</v>
      </c>
      <c r="O72" s="1">
        <f>MAX(MIN((Table1[[#This Row],[taxable wages]]-3000)*0.15,1000*num_kids_16_younger),0)</f>
        <v>2175</v>
      </c>
      <c r="P72" s="9">
        <f>IF(Table1[[#This Row],[Effective Child Tax Credit]]&gt;Table1[[#This Row],[Regular Taxes Owed]],Table1[[#This Row],[Additional Child Tax Credit ]]-Table1[[#This Row],[Regular Taxes Owed]],0)</f>
        <v>2175</v>
      </c>
      <c r="Q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2" s="1">
        <f>Table1[[#This Row],[Effective Additional Child Tax Credit]]+Table1[[#This Row],[Eitc]]</f>
        <v>8444</v>
      </c>
      <c r="S72" s="9">
        <f>Table1[[#This Row],[Regular Taxes Owed - Effective Child Tax Credit]]-Table1[[#This Row],[Total Credits]]</f>
        <v>-8444</v>
      </c>
      <c r="T72" s="9">
        <f>Table1[[#This Row],[taxable wages]]+interest+dividends+short_term_capital_gains+long_term_capital_gains-(charitable_donations+mortgage_interest)</f>
        <v>17500</v>
      </c>
      <c r="U72" s="9">
        <f>MAX(amt_exemption-amt_exemption_phase_out_rate*MAX(Table1[[#This Row],[taxable wages]]-amt_phase_out_begins,0),0)</f>
        <v>83800</v>
      </c>
      <c r="V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2" s="1">
        <f>IF(AND(Table1[[#This Row],[AMT Taxes]]&gt;Table1[[#This Row],[Regular Taxes Owed]],Table1[[#This Row],[AMT Taxes]]&gt;0),Table1[[#This Row],[AMT Taxes]]-Table1[[#This Row],[Regular Taxes Owed]],0)</f>
        <v>0</v>
      </c>
      <c r="X72" s="9">
        <f>Table1[[#This Row],[Extra Taxes From Amt]]+Table1[[#This Row],[Federal Taxes Owed (No AMT)]]</f>
        <v>-8444</v>
      </c>
      <c r="Y72" s="9">
        <f>IF(Table1[[#This Row],[taxable wages]]&gt;obamacare_surcharge_amount,obamacare_surcharge_percent*(Table1[[#This Row],[taxable wages]]-obamacare_surcharge_amount),0)</f>
        <v>0</v>
      </c>
      <c r="Z72" s="9">
        <f>Table1[[#This Row],[Federal Taxes Owed (Includes AMT)]]+Table1[[#This Row],[Obamacare surcharge premium]]</f>
        <v>-8444</v>
      </c>
      <c r="AA72" s="9">
        <f>Table1[[#This Row],[taxable wages]]-Table1[[#This Row],[Federal Taxes Owed2]]</f>
        <v>25944</v>
      </c>
      <c r="AB72" s="51">
        <f t="shared" si="11"/>
        <v>-0.15</v>
      </c>
      <c r="AC72" s="41"/>
      <c r="AD72" s="13"/>
      <c r="AE72" s="13"/>
    </row>
    <row r="73" spans="2:31" x14ac:dyDescent="0.3">
      <c r="B73" s="41">
        <f t="shared" si="12"/>
        <v>18000</v>
      </c>
      <c r="C73" s="1">
        <f>Table1[[#This Row],[taxable wages]]</f>
        <v>18000</v>
      </c>
      <c r="D73" s="1">
        <f>Table1[[#This Row],[taxable wages]]+interest+dividends+short_term_capital_gains+long_term_capital_gains</f>
        <v>18000</v>
      </c>
      <c r="E73" s="1">
        <f>MAX(Table1[[#This Row],[earned income for EITC]:[Agi For Eitc Calc]])</f>
        <v>18000</v>
      </c>
      <c r="F73" s="1">
        <f>Table1[[#This Row],[taxable wages]]+interest+dividends+short_term_capital_gains+long_term_capital_gains-(trad_ira_contributions+MIN(student_loan_interest_cap,student_loan_interest))</f>
        <v>18000</v>
      </c>
      <c r="G73" s="1">
        <f t="shared" si="8"/>
        <v>12600</v>
      </c>
      <c r="H73" s="1">
        <f t="shared" si="9"/>
        <v>28350</v>
      </c>
      <c r="I73" s="1">
        <f>MAX(0,Table1[[#This Row],[Agi]]-Table1[[#This Row],[Exemptions]]-Table1[[#This Row],[Effective Deductions]])</f>
        <v>0</v>
      </c>
      <c r="J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3" s="1">
        <f t="shared" si="10"/>
        <v>5000</v>
      </c>
      <c r="L73" s="1">
        <f>IF(Table1[[#This Row],[Agi]]&gt;ctc_phase_out_begins,ctc_phase_out_rate*(Table1[[#This Row],[Agi]]-ctc_phase_out_begins),0)</f>
        <v>0</v>
      </c>
      <c r="M73" s="1">
        <f>MAX(Table1[[#This Row],[Child Tax Credit]]-Table1[[#This Row],[Child Tax Credit Phase Out]],0)</f>
        <v>5000</v>
      </c>
      <c r="N73" s="1">
        <f>MAX(Table1[[#This Row],[Regular Taxes Owed]]-Table1[[#This Row],[Effective Child Tax Credit]],0)</f>
        <v>0</v>
      </c>
      <c r="O73" s="1">
        <f>MAX(MIN((Table1[[#This Row],[taxable wages]]-3000)*0.15,1000*num_kids_16_younger),0)</f>
        <v>2250</v>
      </c>
      <c r="P73" s="9">
        <f>IF(Table1[[#This Row],[Effective Child Tax Credit]]&gt;Table1[[#This Row],[Regular Taxes Owed]],Table1[[#This Row],[Additional Child Tax Credit ]]-Table1[[#This Row],[Regular Taxes Owed]],0)</f>
        <v>2250</v>
      </c>
      <c r="Q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3" s="1">
        <f>Table1[[#This Row],[Effective Additional Child Tax Credit]]+Table1[[#This Row],[Eitc]]</f>
        <v>8519</v>
      </c>
      <c r="S73" s="9">
        <f>Table1[[#This Row],[Regular Taxes Owed - Effective Child Tax Credit]]-Table1[[#This Row],[Total Credits]]</f>
        <v>-8519</v>
      </c>
      <c r="T73" s="9">
        <f>Table1[[#This Row],[taxable wages]]+interest+dividends+short_term_capital_gains+long_term_capital_gains-(charitable_donations+mortgage_interest)</f>
        <v>18000</v>
      </c>
      <c r="U73" s="9">
        <f>MAX(amt_exemption-amt_exemption_phase_out_rate*MAX(Table1[[#This Row],[taxable wages]]-amt_phase_out_begins,0),0)</f>
        <v>83800</v>
      </c>
      <c r="V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3" s="1">
        <f>IF(AND(Table1[[#This Row],[AMT Taxes]]&gt;Table1[[#This Row],[Regular Taxes Owed]],Table1[[#This Row],[AMT Taxes]]&gt;0),Table1[[#This Row],[AMT Taxes]]-Table1[[#This Row],[Regular Taxes Owed]],0)</f>
        <v>0</v>
      </c>
      <c r="X73" s="9">
        <f>Table1[[#This Row],[Extra Taxes From Amt]]+Table1[[#This Row],[Federal Taxes Owed (No AMT)]]</f>
        <v>-8519</v>
      </c>
      <c r="Y73" s="9">
        <f>IF(Table1[[#This Row],[taxable wages]]&gt;obamacare_surcharge_amount,obamacare_surcharge_percent*(Table1[[#This Row],[taxable wages]]-obamacare_surcharge_amount),0)</f>
        <v>0</v>
      </c>
      <c r="Z73" s="9">
        <f>Table1[[#This Row],[Federal Taxes Owed (Includes AMT)]]+Table1[[#This Row],[Obamacare surcharge premium]]</f>
        <v>-8519</v>
      </c>
      <c r="AA73" s="9">
        <f>Table1[[#This Row],[taxable wages]]-Table1[[#This Row],[Federal Taxes Owed2]]</f>
        <v>26519</v>
      </c>
      <c r="AB73" s="51">
        <f t="shared" si="11"/>
        <v>-0.15</v>
      </c>
      <c r="AC73" s="41"/>
      <c r="AD73" s="13"/>
      <c r="AE73" s="13"/>
    </row>
    <row r="74" spans="2:31" x14ac:dyDescent="0.3">
      <c r="B74" s="41">
        <f t="shared" si="12"/>
        <v>18500</v>
      </c>
      <c r="C74" s="1">
        <f>Table1[[#This Row],[taxable wages]]</f>
        <v>18500</v>
      </c>
      <c r="D74" s="1">
        <f>Table1[[#This Row],[taxable wages]]+interest+dividends+short_term_capital_gains+long_term_capital_gains</f>
        <v>18500</v>
      </c>
      <c r="E74" s="1">
        <f>MAX(Table1[[#This Row],[earned income for EITC]:[Agi For Eitc Calc]])</f>
        <v>18500</v>
      </c>
      <c r="F74" s="1">
        <f>Table1[[#This Row],[taxable wages]]+interest+dividends+short_term_capital_gains+long_term_capital_gains-(trad_ira_contributions+MIN(student_loan_interest_cap,student_loan_interest))</f>
        <v>18500</v>
      </c>
      <c r="G74" s="1">
        <f t="shared" si="8"/>
        <v>12600</v>
      </c>
      <c r="H74" s="1">
        <f t="shared" si="9"/>
        <v>28350</v>
      </c>
      <c r="I74" s="1">
        <f>MAX(0,Table1[[#This Row],[Agi]]-Table1[[#This Row],[Exemptions]]-Table1[[#This Row],[Effective Deductions]])</f>
        <v>0</v>
      </c>
      <c r="J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4" s="1">
        <f t="shared" si="10"/>
        <v>5000</v>
      </c>
      <c r="L74" s="1">
        <f>IF(Table1[[#This Row],[Agi]]&gt;ctc_phase_out_begins,ctc_phase_out_rate*(Table1[[#This Row],[Agi]]-ctc_phase_out_begins),0)</f>
        <v>0</v>
      </c>
      <c r="M74" s="1">
        <f>MAX(Table1[[#This Row],[Child Tax Credit]]-Table1[[#This Row],[Child Tax Credit Phase Out]],0)</f>
        <v>5000</v>
      </c>
      <c r="N74" s="1">
        <f>MAX(Table1[[#This Row],[Regular Taxes Owed]]-Table1[[#This Row],[Effective Child Tax Credit]],0)</f>
        <v>0</v>
      </c>
      <c r="O74" s="1">
        <f>MAX(MIN((Table1[[#This Row],[taxable wages]]-3000)*0.15,1000*num_kids_16_younger),0)</f>
        <v>2325</v>
      </c>
      <c r="P74" s="9">
        <f>IF(Table1[[#This Row],[Effective Child Tax Credit]]&gt;Table1[[#This Row],[Regular Taxes Owed]],Table1[[#This Row],[Additional Child Tax Credit ]]-Table1[[#This Row],[Regular Taxes Owed]],0)</f>
        <v>2325</v>
      </c>
      <c r="Q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4" s="1">
        <f>Table1[[#This Row],[Effective Additional Child Tax Credit]]+Table1[[#This Row],[Eitc]]</f>
        <v>8594</v>
      </c>
      <c r="S74" s="9">
        <f>Table1[[#This Row],[Regular Taxes Owed - Effective Child Tax Credit]]-Table1[[#This Row],[Total Credits]]</f>
        <v>-8594</v>
      </c>
      <c r="T74" s="9">
        <f>Table1[[#This Row],[taxable wages]]+interest+dividends+short_term_capital_gains+long_term_capital_gains-(charitable_donations+mortgage_interest)</f>
        <v>18500</v>
      </c>
      <c r="U74" s="9">
        <f>MAX(amt_exemption-amt_exemption_phase_out_rate*MAX(Table1[[#This Row],[taxable wages]]-amt_phase_out_begins,0),0)</f>
        <v>83800</v>
      </c>
      <c r="V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4" s="1">
        <f>IF(AND(Table1[[#This Row],[AMT Taxes]]&gt;Table1[[#This Row],[Regular Taxes Owed]],Table1[[#This Row],[AMT Taxes]]&gt;0),Table1[[#This Row],[AMT Taxes]]-Table1[[#This Row],[Regular Taxes Owed]],0)</f>
        <v>0</v>
      </c>
      <c r="X74" s="9">
        <f>Table1[[#This Row],[Extra Taxes From Amt]]+Table1[[#This Row],[Federal Taxes Owed (No AMT)]]</f>
        <v>-8594</v>
      </c>
      <c r="Y74" s="9">
        <f>IF(Table1[[#This Row],[taxable wages]]&gt;obamacare_surcharge_amount,obamacare_surcharge_percent*(Table1[[#This Row],[taxable wages]]-obamacare_surcharge_amount),0)</f>
        <v>0</v>
      </c>
      <c r="Z74" s="9">
        <f>Table1[[#This Row],[Federal Taxes Owed (Includes AMT)]]+Table1[[#This Row],[Obamacare surcharge premium]]</f>
        <v>-8594</v>
      </c>
      <c r="AA74" s="9">
        <f>Table1[[#This Row],[taxable wages]]-Table1[[#This Row],[Federal Taxes Owed2]]</f>
        <v>27094</v>
      </c>
      <c r="AB74" s="51">
        <f t="shared" si="11"/>
        <v>-0.15</v>
      </c>
      <c r="AC74" s="41"/>
      <c r="AD74" s="13"/>
      <c r="AE74" s="13"/>
    </row>
    <row r="75" spans="2:31" x14ac:dyDescent="0.3">
      <c r="B75" s="41">
        <f t="shared" si="12"/>
        <v>19000</v>
      </c>
      <c r="C75" s="1">
        <f>Table1[[#This Row],[taxable wages]]</f>
        <v>19000</v>
      </c>
      <c r="D75" s="1">
        <f>Table1[[#This Row],[taxable wages]]+interest+dividends+short_term_capital_gains+long_term_capital_gains</f>
        <v>19000</v>
      </c>
      <c r="E75" s="1">
        <f>MAX(Table1[[#This Row],[earned income for EITC]:[Agi For Eitc Calc]])</f>
        <v>19000</v>
      </c>
      <c r="F75" s="1">
        <f>Table1[[#This Row],[taxable wages]]+interest+dividends+short_term_capital_gains+long_term_capital_gains-(trad_ira_contributions+MIN(student_loan_interest_cap,student_loan_interest))</f>
        <v>19000</v>
      </c>
      <c r="G75" s="1">
        <f t="shared" si="8"/>
        <v>12600</v>
      </c>
      <c r="H75" s="1">
        <f t="shared" si="9"/>
        <v>28350</v>
      </c>
      <c r="I75" s="1">
        <f>MAX(0,Table1[[#This Row],[Agi]]-Table1[[#This Row],[Exemptions]]-Table1[[#This Row],[Effective Deductions]])</f>
        <v>0</v>
      </c>
      <c r="J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5" s="1">
        <f t="shared" si="10"/>
        <v>5000</v>
      </c>
      <c r="L75" s="1">
        <f>IF(Table1[[#This Row],[Agi]]&gt;ctc_phase_out_begins,ctc_phase_out_rate*(Table1[[#This Row],[Agi]]-ctc_phase_out_begins),0)</f>
        <v>0</v>
      </c>
      <c r="M75" s="1">
        <f>MAX(Table1[[#This Row],[Child Tax Credit]]-Table1[[#This Row],[Child Tax Credit Phase Out]],0)</f>
        <v>5000</v>
      </c>
      <c r="N75" s="1">
        <f>MAX(Table1[[#This Row],[Regular Taxes Owed]]-Table1[[#This Row],[Effective Child Tax Credit]],0)</f>
        <v>0</v>
      </c>
      <c r="O75" s="1">
        <f>MAX(MIN((Table1[[#This Row],[taxable wages]]-3000)*0.15,1000*num_kids_16_younger),0)</f>
        <v>2400</v>
      </c>
      <c r="P75" s="9">
        <f>IF(Table1[[#This Row],[Effective Child Tax Credit]]&gt;Table1[[#This Row],[Regular Taxes Owed]],Table1[[#This Row],[Additional Child Tax Credit ]]-Table1[[#This Row],[Regular Taxes Owed]],0)</f>
        <v>2400</v>
      </c>
      <c r="Q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5" s="1">
        <f>Table1[[#This Row],[Effective Additional Child Tax Credit]]+Table1[[#This Row],[Eitc]]</f>
        <v>8669</v>
      </c>
      <c r="S75" s="9">
        <f>Table1[[#This Row],[Regular Taxes Owed - Effective Child Tax Credit]]-Table1[[#This Row],[Total Credits]]</f>
        <v>-8669</v>
      </c>
      <c r="T75" s="9">
        <f>Table1[[#This Row],[taxable wages]]+interest+dividends+short_term_capital_gains+long_term_capital_gains-(charitable_donations+mortgage_interest)</f>
        <v>19000</v>
      </c>
      <c r="U75" s="9">
        <f>MAX(amt_exemption-amt_exemption_phase_out_rate*MAX(Table1[[#This Row],[taxable wages]]-amt_phase_out_begins,0),0)</f>
        <v>83800</v>
      </c>
      <c r="V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5" s="1">
        <f>IF(AND(Table1[[#This Row],[AMT Taxes]]&gt;Table1[[#This Row],[Regular Taxes Owed]],Table1[[#This Row],[AMT Taxes]]&gt;0),Table1[[#This Row],[AMT Taxes]]-Table1[[#This Row],[Regular Taxes Owed]],0)</f>
        <v>0</v>
      </c>
      <c r="X75" s="9">
        <f>Table1[[#This Row],[Extra Taxes From Amt]]+Table1[[#This Row],[Federal Taxes Owed (No AMT)]]</f>
        <v>-8669</v>
      </c>
      <c r="Y75" s="9">
        <f>IF(Table1[[#This Row],[taxable wages]]&gt;obamacare_surcharge_amount,obamacare_surcharge_percent*(Table1[[#This Row],[taxable wages]]-obamacare_surcharge_amount),0)</f>
        <v>0</v>
      </c>
      <c r="Z75" s="9">
        <f>Table1[[#This Row],[Federal Taxes Owed (Includes AMT)]]+Table1[[#This Row],[Obamacare surcharge premium]]</f>
        <v>-8669</v>
      </c>
      <c r="AA75" s="9">
        <f>Table1[[#This Row],[taxable wages]]-Table1[[#This Row],[Federal Taxes Owed2]]</f>
        <v>27669</v>
      </c>
      <c r="AB75" s="51">
        <f t="shared" si="11"/>
        <v>-0.15</v>
      </c>
      <c r="AC75" s="41"/>
      <c r="AD75" s="13"/>
      <c r="AE75" s="13"/>
    </row>
    <row r="76" spans="2:31" x14ac:dyDescent="0.3">
      <c r="B76" s="41">
        <f t="shared" si="12"/>
        <v>19500</v>
      </c>
      <c r="C76" s="1">
        <f>Table1[[#This Row],[taxable wages]]</f>
        <v>19500</v>
      </c>
      <c r="D76" s="1">
        <f>Table1[[#This Row],[taxable wages]]+interest+dividends+short_term_capital_gains+long_term_capital_gains</f>
        <v>19500</v>
      </c>
      <c r="E76" s="1">
        <f>MAX(Table1[[#This Row],[earned income for EITC]:[Agi For Eitc Calc]])</f>
        <v>19500</v>
      </c>
      <c r="F76" s="1">
        <f>Table1[[#This Row],[taxable wages]]+interest+dividends+short_term_capital_gains+long_term_capital_gains-(trad_ira_contributions+MIN(student_loan_interest_cap,student_loan_interest))</f>
        <v>19500</v>
      </c>
      <c r="G76" s="1">
        <f t="shared" si="8"/>
        <v>12600</v>
      </c>
      <c r="H76" s="1">
        <f t="shared" si="9"/>
        <v>28350</v>
      </c>
      <c r="I76" s="1">
        <f>MAX(0,Table1[[#This Row],[Agi]]-Table1[[#This Row],[Exemptions]]-Table1[[#This Row],[Effective Deductions]])</f>
        <v>0</v>
      </c>
      <c r="J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6" s="1">
        <f t="shared" si="10"/>
        <v>5000</v>
      </c>
      <c r="L76" s="1">
        <f>IF(Table1[[#This Row],[Agi]]&gt;ctc_phase_out_begins,ctc_phase_out_rate*(Table1[[#This Row],[Agi]]-ctc_phase_out_begins),0)</f>
        <v>0</v>
      </c>
      <c r="M76" s="1">
        <f>MAX(Table1[[#This Row],[Child Tax Credit]]-Table1[[#This Row],[Child Tax Credit Phase Out]],0)</f>
        <v>5000</v>
      </c>
      <c r="N76" s="1">
        <f>MAX(Table1[[#This Row],[Regular Taxes Owed]]-Table1[[#This Row],[Effective Child Tax Credit]],0)</f>
        <v>0</v>
      </c>
      <c r="O76" s="1">
        <f>MAX(MIN((Table1[[#This Row],[taxable wages]]-3000)*0.15,1000*num_kids_16_younger),0)</f>
        <v>2475</v>
      </c>
      <c r="P76" s="9">
        <f>IF(Table1[[#This Row],[Effective Child Tax Credit]]&gt;Table1[[#This Row],[Regular Taxes Owed]],Table1[[#This Row],[Additional Child Tax Credit ]]-Table1[[#This Row],[Regular Taxes Owed]],0)</f>
        <v>2475</v>
      </c>
      <c r="Q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6" s="1">
        <f>Table1[[#This Row],[Effective Additional Child Tax Credit]]+Table1[[#This Row],[Eitc]]</f>
        <v>8744</v>
      </c>
      <c r="S76" s="9">
        <f>Table1[[#This Row],[Regular Taxes Owed - Effective Child Tax Credit]]-Table1[[#This Row],[Total Credits]]</f>
        <v>-8744</v>
      </c>
      <c r="T76" s="9">
        <f>Table1[[#This Row],[taxable wages]]+interest+dividends+short_term_capital_gains+long_term_capital_gains-(charitable_donations+mortgage_interest)</f>
        <v>19500</v>
      </c>
      <c r="U76" s="9">
        <f>MAX(amt_exemption-amt_exemption_phase_out_rate*MAX(Table1[[#This Row],[taxable wages]]-amt_phase_out_begins,0),0)</f>
        <v>83800</v>
      </c>
      <c r="V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6" s="1">
        <f>IF(AND(Table1[[#This Row],[AMT Taxes]]&gt;Table1[[#This Row],[Regular Taxes Owed]],Table1[[#This Row],[AMT Taxes]]&gt;0),Table1[[#This Row],[AMT Taxes]]-Table1[[#This Row],[Regular Taxes Owed]],0)</f>
        <v>0</v>
      </c>
      <c r="X76" s="9">
        <f>Table1[[#This Row],[Extra Taxes From Amt]]+Table1[[#This Row],[Federal Taxes Owed (No AMT)]]</f>
        <v>-8744</v>
      </c>
      <c r="Y76" s="9">
        <f>IF(Table1[[#This Row],[taxable wages]]&gt;obamacare_surcharge_amount,obamacare_surcharge_percent*(Table1[[#This Row],[taxable wages]]-obamacare_surcharge_amount),0)</f>
        <v>0</v>
      </c>
      <c r="Z76" s="9">
        <f>Table1[[#This Row],[Federal Taxes Owed (Includes AMT)]]+Table1[[#This Row],[Obamacare surcharge premium]]</f>
        <v>-8744</v>
      </c>
      <c r="AA76" s="9">
        <f>Table1[[#This Row],[taxable wages]]-Table1[[#This Row],[Federal Taxes Owed2]]</f>
        <v>28244</v>
      </c>
      <c r="AB76" s="51">
        <f t="shared" si="11"/>
        <v>-0.15</v>
      </c>
      <c r="AC76" s="41"/>
      <c r="AD76" s="13"/>
      <c r="AE76" s="13"/>
    </row>
    <row r="77" spans="2:31" x14ac:dyDescent="0.3">
      <c r="B77" s="41">
        <f t="shared" si="12"/>
        <v>20000</v>
      </c>
      <c r="C77" s="1">
        <f>Table1[[#This Row],[taxable wages]]</f>
        <v>20000</v>
      </c>
      <c r="D77" s="1">
        <f>Table1[[#This Row],[taxable wages]]+interest+dividends+short_term_capital_gains+long_term_capital_gains</f>
        <v>20000</v>
      </c>
      <c r="E77" s="1">
        <f>MAX(Table1[[#This Row],[earned income for EITC]:[Agi For Eitc Calc]])</f>
        <v>20000</v>
      </c>
      <c r="F77" s="1">
        <f>Table1[[#This Row],[taxable wages]]+interest+dividends+short_term_capital_gains+long_term_capital_gains-(trad_ira_contributions+MIN(student_loan_interest_cap,student_loan_interest))</f>
        <v>20000</v>
      </c>
      <c r="G77" s="1">
        <f t="shared" si="8"/>
        <v>12600</v>
      </c>
      <c r="H77" s="1">
        <f t="shared" si="9"/>
        <v>28350</v>
      </c>
      <c r="I77" s="1">
        <f>MAX(0,Table1[[#This Row],[Agi]]-Table1[[#This Row],[Exemptions]]-Table1[[#This Row],[Effective Deductions]])</f>
        <v>0</v>
      </c>
      <c r="J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7" s="1">
        <f t="shared" si="10"/>
        <v>5000</v>
      </c>
      <c r="L77" s="1">
        <f>IF(Table1[[#This Row],[Agi]]&gt;ctc_phase_out_begins,ctc_phase_out_rate*(Table1[[#This Row],[Agi]]-ctc_phase_out_begins),0)</f>
        <v>0</v>
      </c>
      <c r="M77" s="1">
        <f>MAX(Table1[[#This Row],[Child Tax Credit]]-Table1[[#This Row],[Child Tax Credit Phase Out]],0)</f>
        <v>5000</v>
      </c>
      <c r="N77" s="1">
        <f>MAX(Table1[[#This Row],[Regular Taxes Owed]]-Table1[[#This Row],[Effective Child Tax Credit]],0)</f>
        <v>0</v>
      </c>
      <c r="O77" s="1">
        <f>MAX(MIN((Table1[[#This Row],[taxable wages]]-3000)*0.15,1000*num_kids_16_younger),0)</f>
        <v>2550</v>
      </c>
      <c r="P77" s="9">
        <f>IF(Table1[[#This Row],[Effective Child Tax Credit]]&gt;Table1[[#This Row],[Regular Taxes Owed]],Table1[[#This Row],[Additional Child Tax Credit ]]-Table1[[#This Row],[Regular Taxes Owed]],0)</f>
        <v>2550</v>
      </c>
      <c r="Q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7" s="1">
        <f>Table1[[#This Row],[Effective Additional Child Tax Credit]]+Table1[[#This Row],[Eitc]]</f>
        <v>8819</v>
      </c>
      <c r="S77" s="9">
        <f>Table1[[#This Row],[Regular Taxes Owed - Effective Child Tax Credit]]-Table1[[#This Row],[Total Credits]]</f>
        <v>-8819</v>
      </c>
      <c r="T77" s="9">
        <f>Table1[[#This Row],[taxable wages]]+interest+dividends+short_term_capital_gains+long_term_capital_gains-(charitable_donations+mortgage_interest)</f>
        <v>20000</v>
      </c>
      <c r="U77" s="9">
        <f>MAX(amt_exemption-amt_exemption_phase_out_rate*MAX(Table1[[#This Row],[taxable wages]]-amt_phase_out_begins,0),0)</f>
        <v>83800</v>
      </c>
      <c r="V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7" s="1">
        <f>IF(AND(Table1[[#This Row],[AMT Taxes]]&gt;Table1[[#This Row],[Regular Taxes Owed]],Table1[[#This Row],[AMT Taxes]]&gt;0),Table1[[#This Row],[AMT Taxes]]-Table1[[#This Row],[Regular Taxes Owed]],0)</f>
        <v>0</v>
      </c>
      <c r="X77" s="9">
        <f>Table1[[#This Row],[Extra Taxes From Amt]]+Table1[[#This Row],[Federal Taxes Owed (No AMT)]]</f>
        <v>-8819</v>
      </c>
      <c r="Y77" s="9">
        <f>IF(Table1[[#This Row],[taxable wages]]&gt;obamacare_surcharge_amount,obamacare_surcharge_percent*(Table1[[#This Row],[taxable wages]]-obamacare_surcharge_amount),0)</f>
        <v>0</v>
      </c>
      <c r="Z77" s="9">
        <f>Table1[[#This Row],[Federal Taxes Owed (Includes AMT)]]+Table1[[#This Row],[Obamacare surcharge premium]]</f>
        <v>-8819</v>
      </c>
      <c r="AA77" s="9">
        <f>Table1[[#This Row],[taxable wages]]-Table1[[#This Row],[Federal Taxes Owed2]]</f>
        <v>28819</v>
      </c>
      <c r="AB77" s="51">
        <f t="shared" si="11"/>
        <v>-0.15</v>
      </c>
      <c r="AC77" s="41"/>
      <c r="AD77" s="13"/>
      <c r="AE77" s="13"/>
    </row>
    <row r="78" spans="2:31" x14ac:dyDescent="0.3">
      <c r="B78" s="41">
        <f t="shared" si="12"/>
        <v>20500</v>
      </c>
      <c r="C78" s="1">
        <f>Table1[[#This Row],[taxable wages]]</f>
        <v>20500</v>
      </c>
      <c r="D78" s="1">
        <f>Table1[[#This Row],[taxable wages]]+interest+dividends+short_term_capital_gains+long_term_capital_gains</f>
        <v>20500</v>
      </c>
      <c r="E78" s="1">
        <f>MAX(Table1[[#This Row],[earned income for EITC]:[Agi For Eitc Calc]])</f>
        <v>20500</v>
      </c>
      <c r="F78" s="1">
        <f>Table1[[#This Row],[taxable wages]]+interest+dividends+short_term_capital_gains+long_term_capital_gains-(trad_ira_contributions+MIN(student_loan_interest_cap,student_loan_interest))</f>
        <v>20500</v>
      </c>
      <c r="G78" s="1">
        <f t="shared" si="8"/>
        <v>12600</v>
      </c>
      <c r="H78" s="1">
        <f t="shared" si="9"/>
        <v>28350</v>
      </c>
      <c r="I78" s="1">
        <f>MAX(0,Table1[[#This Row],[Agi]]-Table1[[#This Row],[Exemptions]]-Table1[[#This Row],[Effective Deductions]])</f>
        <v>0</v>
      </c>
      <c r="J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8" s="1">
        <f t="shared" si="10"/>
        <v>5000</v>
      </c>
      <c r="L78" s="1">
        <f>IF(Table1[[#This Row],[Agi]]&gt;ctc_phase_out_begins,ctc_phase_out_rate*(Table1[[#This Row],[Agi]]-ctc_phase_out_begins),0)</f>
        <v>0</v>
      </c>
      <c r="M78" s="1">
        <f>MAX(Table1[[#This Row],[Child Tax Credit]]-Table1[[#This Row],[Child Tax Credit Phase Out]],0)</f>
        <v>5000</v>
      </c>
      <c r="N78" s="1">
        <f>MAX(Table1[[#This Row],[Regular Taxes Owed]]-Table1[[#This Row],[Effective Child Tax Credit]],0)</f>
        <v>0</v>
      </c>
      <c r="O78" s="1">
        <f>MAX(MIN((Table1[[#This Row],[taxable wages]]-3000)*0.15,1000*num_kids_16_younger),0)</f>
        <v>2625</v>
      </c>
      <c r="P78" s="9">
        <f>IF(Table1[[#This Row],[Effective Child Tax Credit]]&gt;Table1[[#This Row],[Regular Taxes Owed]],Table1[[#This Row],[Additional Child Tax Credit ]]-Table1[[#This Row],[Regular Taxes Owed]],0)</f>
        <v>2625</v>
      </c>
      <c r="Q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8" s="1">
        <f>Table1[[#This Row],[Effective Additional Child Tax Credit]]+Table1[[#This Row],[Eitc]]</f>
        <v>8894</v>
      </c>
      <c r="S78" s="9">
        <f>Table1[[#This Row],[Regular Taxes Owed - Effective Child Tax Credit]]-Table1[[#This Row],[Total Credits]]</f>
        <v>-8894</v>
      </c>
      <c r="T78" s="9">
        <f>Table1[[#This Row],[taxable wages]]+interest+dividends+short_term_capital_gains+long_term_capital_gains-(charitable_donations+mortgage_interest)</f>
        <v>20500</v>
      </c>
      <c r="U78" s="9">
        <f>MAX(amt_exemption-amt_exemption_phase_out_rate*MAX(Table1[[#This Row],[taxable wages]]-amt_phase_out_begins,0),0)</f>
        <v>83800</v>
      </c>
      <c r="V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8" s="1">
        <f>IF(AND(Table1[[#This Row],[AMT Taxes]]&gt;Table1[[#This Row],[Regular Taxes Owed]],Table1[[#This Row],[AMT Taxes]]&gt;0),Table1[[#This Row],[AMT Taxes]]-Table1[[#This Row],[Regular Taxes Owed]],0)</f>
        <v>0</v>
      </c>
      <c r="X78" s="9">
        <f>Table1[[#This Row],[Extra Taxes From Amt]]+Table1[[#This Row],[Federal Taxes Owed (No AMT)]]</f>
        <v>-8894</v>
      </c>
      <c r="Y78" s="9">
        <f>IF(Table1[[#This Row],[taxable wages]]&gt;obamacare_surcharge_amount,obamacare_surcharge_percent*(Table1[[#This Row],[taxable wages]]-obamacare_surcharge_amount),0)</f>
        <v>0</v>
      </c>
      <c r="Z78" s="9">
        <f>Table1[[#This Row],[Federal Taxes Owed (Includes AMT)]]+Table1[[#This Row],[Obamacare surcharge premium]]</f>
        <v>-8894</v>
      </c>
      <c r="AA78" s="9">
        <f>Table1[[#This Row],[taxable wages]]-Table1[[#This Row],[Federal Taxes Owed2]]</f>
        <v>29394</v>
      </c>
      <c r="AB78" s="51">
        <f t="shared" si="11"/>
        <v>-0.15</v>
      </c>
      <c r="AC78" s="41"/>
      <c r="AD78" s="13"/>
      <c r="AE78" s="13"/>
    </row>
    <row r="79" spans="2:31" x14ac:dyDescent="0.3">
      <c r="B79" s="41">
        <f t="shared" si="12"/>
        <v>21000</v>
      </c>
      <c r="C79" s="1">
        <f>Table1[[#This Row],[taxable wages]]</f>
        <v>21000</v>
      </c>
      <c r="D79" s="1">
        <f>Table1[[#This Row],[taxable wages]]+interest+dividends+short_term_capital_gains+long_term_capital_gains</f>
        <v>21000</v>
      </c>
      <c r="E79" s="1">
        <f>MAX(Table1[[#This Row],[earned income for EITC]:[Agi For Eitc Calc]])</f>
        <v>21000</v>
      </c>
      <c r="F79" s="1">
        <f>Table1[[#This Row],[taxable wages]]+interest+dividends+short_term_capital_gains+long_term_capital_gains-(trad_ira_contributions+MIN(student_loan_interest_cap,student_loan_interest))</f>
        <v>21000</v>
      </c>
      <c r="G79" s="1">
        <f t="shared" si="8"/>
        <v>12600</v>
      </c>
      <c r="H79" s="1">
        <f t="shared" si="9"/>
        <v>28350</v>
      </c>
      <c r="I79" s="1">
        <f>MAX(0,Table1[[#This Row],[Agi]]-Table1[[#This Row],[Exemptions]]-Table1[[#This Row],[Effective Deductions]])</f>
        <v>0</v>
      </c>
      <c r="J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79" s="1">
        <f t="shared" si="10"/>
        <v>5000</v>
      </c>
      <c r="L79" s="1">
        <f>IF(Table1[[#This Row],[Agi]]&gt;ctc_phase_out_begins,ctc_phase_out_rate*(Table1[[#This Row],[Agi]]-ctc_phase_out_begins),0)</f>
        <v>0</v>
      </c>
      <c r="M79" s="1">
        <f>MAX(Table1[[#This Row],[Child Tax Credit]]-Table1[[#This Row],[Child Tax Credit Phase Out]],0)</f>
        <v>5000</v>
      </c>
      <c r="N79" s="1">
        <f>MAX(Table1[[#This Row],[Regular Taxes Owed]]-Table1[[#This Row],[Effective Child Tax Credit]],0)</f>
        <v>0</v>
      </c>
      <c r="O79" s="1">
        <f>MAX(MIN((Table1[[#This Row],[taxable wages]]-3000)*0.15,1000*num_kids_16_younger),0)</f>
        <v>2700</v>
      </c>
      <c r="P79" s="9">
        <f>IF(Table1[[#This Row],[Effective Child Tax Credit]]&gt;Table1[[#This Row],[Regular Taxes Owed]],Table1[[#This Row],[Additional Child Tax Credit ]]-Table1[[#This Row],[Regular Taxes Owed]],0)</f>
        <v>2700</v>
      </c>
      <c r="Q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79" s="1">
        <f>Table1[[#This Row],[Effective Additional Child Tax Credit]]+Table1[[#This Row],[Eitc]]</f>
        <v>8969</v>
      </c>
      <c r="S79" s="9">
        <f>Table1[[#This Row],[Regular Taxes Owed - Effective Child Tax Credit]]-Table1[[#This Row],[Total Credits]]</f>
        <v>-8969</v>
      </c>
      <c r="T79" s="9">
        <f>Table1[[#This Row],[taxable wages]]+interest+dividends+short_term_capital_gains+long_term_capital_gains-(charitable_donations+mortgage_interest)</f>
        <v>21000</v>
      </c>
      <c r="U79" s="9">
        <f>MAX(amt_exemption-amt_exemption_phase_out_rate*MAX(Table1[[#This Row],[taxable wages]]-amt_phase_out_begins,0),0)</f>
        <v>83800</v>
      </c>
      <c r="V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79" s="1">
        <f>IF(AND(Table1[[#This Row],[AMT Taxes]]&gt;Table1[[#This Row],[Regular Taxes Owed]],Table1[[#This Row],[AMT Taxes]]&gt;0),Table1[[#This Row],[AMT Taxes]]-Table1[[#This Row],[Regular Taxes Owed]],0)</f>
        <v>0</v>
      </c>
      <c r="X79" s="9">
        <f>Table1[[#This Row],[Extra Taxes From Amt]]+Table1[[#This Row],[Federal Taxes Owed (No AMT)]]</f>
        <v>-8969</v>
      </c>
      <c r="Y79" s="9">
        <f>IF(Table1[[#This Row],[taxable wages]]&gt;obamacare_surcharge_amount,obamacare_surcharge_percent*(Table1[[#This Row],[taxable wages]]-obamacare_surcharge_amount),0)</f>
        <v>0</v>
      </c>
      <c r="Z79" s="9">
        <f>Table1[[#This Row],[Federal Taxes Owed (Includes AMT)]]+Table1[[#This Row],[Obamacare surcharge premium]]</f>
        <v>-8969</v>
      </c>
      <c r="AA79" s="9">
        <f>Table1[[#This Row],[taxable wages]]-Table1[[#This Row],[Federal Taxes Owed2]]</f>
        <v>29969</v>
      </c>
      <c r="AB79" s="51">
        <f t="shared" si="11"/>
        <v>-0.15</v>
      </c>
      <c r="AC79" s="41"/>
      <c r="AD79" s="13"/>
      <c r="AE79" s="13"/>
    </row>
    <row r="80" spans="2:31" x14ac:dyDescent="0.3">
      <c r="B80" s="41">
        <f t="shared" si="12"/>
        <v>21500</v>
      </c>
      <c r="C80" s="1">
        <f>Table1[[#This Row],[taxable wages]]</f>
        <v>21500</v>
      </c>
      <c r="D80" s="1">
        <f>Table1[[#This Row],[taxable wages]]+interest+dividends+short_term_capital_gains+long_term_capital_gains</f>
        <v>21500</v>
      </c>
      <c r="E80" s="1">
        <f>MAX(Table1[[#This Row],[earned income for EITC]:[Agi For Eitc Calc]])</f>
        <v>21500</v>
      </c>
      <c r="F80" s="1">
        <f>Table1[[#This Row],[taxable wages]]+interest+dividends+short_term_capital_gains+long_term_capital_gains-(trad_ira_contributions+MIN(student_loan_interest_cap,student_loan_interest))</f>
        <v>21500</v>
      </c>
      <c r="G80" s="1">
        <f t="shared" si="8"/>
        <v>12600</v>
      </c>
      <c r="H80" s="1">
        <f t="shared" si="9"/>
        <v>28350</v>
      </c>
      <c r="I80" s="1">
        <f>MAX(0,Table1[[#This Row],[Agi]]-Table1[[#This Row],[Exemptions]]-Table1[[#This Row],[Effective Deductions]])</f>
        <v>0</v>
      </c>
      <c r="J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0" s="1">
        <f t="shared" si="10"/>
        <v>5000</v>
      </c>
      <c r="L80" s="1">
        <f>IF(Table1[[#This Row],[Agi]]&gt;ctc_phase_out_begins,ctc_phase_out_rate*(Table1[[#This Row],[Agi]]-ctc_phase_out_begins),0)</f>
        <v>0</v>
      </c>
      <c r="M80" s="1">
        <f>MAX(Table1[[#This Row],[Child Tax Credit]]-Table1[[#This Row],[Child Tax Credit Phase Out]],0)</f>
        <v>5000</v>
      </c>
      <c r="N80" s="1">
        <f>MAX(Table1[[#This Row],[Regular Taxes Owed]]-Table1[[#This Row],[Effective Child Tax Credit]],0)</f>
        <v>0</v>
      </c>
      <c r="O80" s="1">
        <f>MAX(MIN((Table1[[#This Row],[taxable wages]]-3000)*0.15,1000*num_kids_16_younger),0)</f>
        <v>2775</v>
      </c>
      <c r="P80" s="9">
        <f>IF(Table1[[#This Row],[Effective Child Tax Credit]]&gt;Table1[[#This Row],[Regular Taxes Owed]],Table1[[#This Row],[Additional Child Tax Credit ]]-Table1[[#This Row],[Regular Taxes Owed]],0)</f>
        <v>2775</v>
      </c>
      <c r="Q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80" s="1">
        <f>Table1[[#This Row],[Effective Additional Child Tax Credit]]+Table1[[#This Row],[Eitc]]</f>
        <v>9044</v>
      </c>
      <c r="S80" s="9">
        <f>Table1[[#This Row],[Regular Taxes Owed - Effective Child Tax Credit]]-Table1[[#This Row],[Total Credits]]</f>
        <v>-9044</v>
      </c>
      <c r="T80" s="9">
        <f>Table1[[#This Row],[taxable wages]]+interest+dividends+short_term_capital_gains+long_term_capital_gains-(charitable_donations+mortgage_interest)</f>
        <v>21500</v>
      </c>
      <c r="U80" s="9">
        <f>MAX(amt_exemption-amt_exemption_phase_out_rate*MAX(Table1[[#This Row],[taxable wages]]-amt_phase_out_begins,0),0)</f>
        <v>83800</v>
      </c>
      <c r="V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0" s="1">
        <f>IF(AND(Table1[[#This Row],[AMT Taxes]]&gt;Table1[[#This Row],[Regular Taxes Owed]],Table1[[#This Row],[AMT Taxes]]&gt;0),Table1[[#This Row],[AMT Taxes]]-Table1[[#This Row],[Regular Taxes Owed]],0)</f>
        <v>0</v>
      </c>
      <c r="X80" s="9">
        <f>Table1[[#This Row],[Extra Taxes From Amt]]+Table1[[#This Row],[Federal Taxes Owed (No AMT)]]</f>
        <v>-9044</v>
      </c>
      <c r="Y80" s="9">
        <f>IF(Table1[[#This Row],[taxable wages]]&gt;obamacare_surcharge_amount,obamacare_surcharge_percent*(Table1[[#This Row],[taxable wages]]-obamacare_surcharge_amount),0)</f>
        <v>0</v>
      </c>
      <c r="Z80" s="9">
        <f>Table1[[#This Row],[Federal Taxes Owed (Includes AMT)]]+Table1[[#This Row],[Obamacare surcharge premium]]</f>
        <v>-9044</v>
      </c>
      <c r="AA80" s="9">
        <f>Table1[[#This Row],[taxable wages]]-Table1[[#This Row],[Federal Taxes Owed2]]</f>
        <v>30544</v>
      </c>
      <c r="AB80" s="51">
        <f t="shared" si="11"/>
        <v>-0.15</v>
      </c>
      <c r="AC80" s="41"/>
      <c r="AD80" s="13"/>
      <c r="AE80" s="13"/>
    </row>
    <row r="81" spans="2:31" x14ac:dyDescent="0.3">
      <c r="B81" s="41">
        <f t="shared" si="12"/>
        <v>22000</v>
      </c>
      <c r="C81" s="1">
        <f>Table1[[#This Row],[taxable wages]]</f>
        <v>22000</v>
      </c>
      <c r="D81" s="1">
        <f>Table1[[#This Row],[taxable wages]]+interest+dividends+short_term_capital_gains+long_term_capital_gains</f>
        <v>22000</v>
      </c>
      <c r="E81" s="1">
        <f>MAX(Table1[[#This Row],[earned income for EITC]:[Agi For Eitc Calc]])</f>
        <v>22000</v>
      </c>
      <c r="F81" s="1">
        <f>Table1[[#This Row],[taxable wages]]+interest+dividends+short_term_capital_gains+long_term_capital_gains-(trad_ira_contributions+MIN(student_loan_interest_cap,student_loan_interest))</f>
        <v>22000</v>
      </c>
      <c r="G81" s="1">
        <f t="shared" si="8"/>
        <v>12600</v>
      </c>
      <c r="H81" s="1">
        <f t="shared" si="9"/>
        <v>28350</v>
      </c>
      <c r="I81" s="1">
        <f>MAX(0,Table1[[#This Row],[Agi]]-Table1[[#This Row],[Exemptions]]-Table1[[#This Row],[Effective Deductions]])</f>
        <v>0</v>
      </c>
      <c r="J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1" s="1">
        <f t="shared" si="10"/>
        <v>5000</v>
      </c>
      <c r="L81" s="1">
        <f>IF(Table1[[#This Row],[Agi]]&gt;ctc_phase_out_begins,ctc_phase_out_rate*(Table1[[#This Row],[Agi]]-ctc_phase_out_begins),0)</f>
        <v>0</v>
      </c>
      <c r="M81" s="1">
        <f>MAX(Table1[[#This Row],[Child Tax Credit]]-Table1[[#This Row],[Child Tax Credit Phase Out]],0)</f>
        <v>5000</v>
      </c>
      <c r="N81" s="1">
        <f>MAX(Table1[[#This Row],[Regular Taxes Owed]]-Table1[[#This Row],[Effective Child Tax Credit]],0)</f>
        <v>0</v>
      </c>
      <c r="O81" s="1">
        <f>MAX(MIN((Table1[[#This Row],[taxable wages]]-3000)*0.15,1000*num_kids_16_younger),0)</f>
        <v>2850</v>
      </c>
      <c r="P81" s="9">
        <f>IF(Table1[[#This Row],[Effective Child Tax Credit]]&gt;Table1[[#This Row],[Regular Taxes Owed]],Table1[[#This Row],[Additional Child Tax Credit ]]-Table1[[#This Row],[Regular Taxes Owed]],0)</f>
        <v>2850</v>
      </c>
      <c r="Q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81" s="1">
        <f>Table1[[#This Row],[Effective Additional Child Tax Credit]]+Table1[[#This Row],[Eitc]]</f>
        <v>9119</v>
      </c>
      <c r="S81" s="9">
        <f>Table1[[#This Row],[Regular Taxes Owed - Effective Child Tax Credit]]-Table1[[#This Row],[Total Credits]]</f>
        <v>-9119</v>
      </c>
      <c r="T81" s="9">
        <f>Table1[[#This Row],[taxable wages]]+interest+dividends+short_term_capital_gains+long_term_capital_gains-(charitable_donations+mortgage_interest)</f>
        <v>22000</v>
      </c>
      <c r="U81" s="9">
        <f>MAX(amt_exemption-amt_exemption_phase_out_rate*MAX(Table1[[#This Row],[taxable wages]]-amt_phase_out_begins,0),0)</f>
        <v>83800</v>
      </c>
      <c r="V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1" s="1">
        <f>IF(AND(Table1[[#This Row],[AMT Taxes]]&gt;Table1[[#This Row],[Regular Taxes Owed]],Table1[[#This Row],[AMT Taxes]]&gt;0),Table1[[#This Row],[AMT Taxes]]-Table1[[#This Row],[Regular Taxes Owed]],0)</f>
        <v>0</v>
      </c>
      <c r="X81" s="9">
        <f>Table1[[#This Row],[Extra Taxes From Amt]]+Table1[[#This Row],[Federal Taxes Owed (No AMT)]]</f>
        <v>-9119</v>
      </c>
      <c r="Y81" s="9">
        <f>IF(Table1[[#This Row],[taxable wages]]&gt;obamacare_surcharge_amount,obamacare_surcharge_percent*(Table1[[#This Row],[taxable wages]]-obamacare_surcharge_amount),0)</f>
        <v>0</v>
      </c>
      <c r="Z81" s="9">
        <f>Table1[[#This Row],[Federal Taxes Owed (Includes AMT)]]+Table1[[#This Row],[Obamacare surcharge premium]]</f>
        <v>-9119</v>
      </c>
      <c r="AA81" s="9">
        <f>Table1[[#This Row],[taxable wages]]-Table1[[#This Row],[Federal Taxes Owed2]]</f>
        <v>31119</v>
      </c>
      <c r="AB81" s="51">
        <f t="shared" si="11"/>
        <v>-0.15</v>
      </c>
      <c r="AC81" s="41"/>
      <c r="AD81" s="13"/>
      <c r="AE81" s="13"/>
    </row>
    <row r="82" spans="2:31" x14ac:dyDescent="0.3">
      <c r="B82" s="41">
        <f t="shared" si="12"/>
        <v>22500</v>
      </c>
      <c r="C82" s="1">
        <f>Table1[[#This Row],[taxable wages]]</f>
        <v>22500</v>
      </c>
      <c r="D82" s="1">
        <f>Table1[[#This Row],[taxable wages]]+interest+dividends+short_term_capital_gains+long_term_capital_gains</f>
        <v>22500</v>
      </c>
      <c r="E82" s="1">
        <f>MAX(Table1[[#This Row],[earned income for EITC]:[Agi For Eitc Calc]])</f>
        <v>22500</v>
      </c>
      <c r="F82" s="1">
        <f>Table1[[#This Row],[taxable wages]]+interest+dividends+short_term_capital_gains+long_term_capital_gains-(trad_ira_contributions+MIN(student_loan_interest_cap,student_loan_interest))</f>
        <v>22500</v>
      </c>
      <c r="G82" s="1">
        <f t="shared" si="8"/>
        <v>12600</v>
      </c>
      <c r="H82" s="1">
        <f t="shared" si="9"/>
        <v>28350</v>
      </c>
      <c r="I82" s="1">
        <f>MAX(0,Table1[[#This Row],[Agi]]-Table1[[#This Row],[Exemptions]]-Table1[[#This Row],[Effective Deductions]])</f>
        <v>0</v>
      </c>
      <c r="J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2" s="1">
        <f t="shared" si="10"/>
        <v>5000</v>
      </c>
      <c r="L82" s="1">
        <f>IF(Table1[[#This Row],[Agi]]&gt;ctc_phase_out_begins,ctc_phase_out_rate*(Table1[[#This Row],[Agi]]-ctc_phase_out_begins),0)</f>
        <v>0</v>
      </c>
      <c r="M82" s="1">
        <f>MAX(Table1[[#This Row],[Child Tax Credit]]-Table1[[#This Row],[Child Tax Credit Phase Out]],0)</f>
        <v>5000</v>
      </c>
      <c r="N82" s="1">
        <f>MAX(Table1[[#This Row],[Regular Taxes Owed]]-Table1[[#This Row],[Effective Child Tax Credit]],0)</f>
        <v>0</v>
      </c>
      <c r="O82" s="1">
        <f>MAX(MIN((Table1[[#This Row],[taxable wages]]-3000)*0.15,1000*num_kids_16_younger),0)</f>
        <v>2925</v>
      </c>
      <c r="P82" s="9">
        <f>IF(Table1[[#This Row],[Effective Child Tax Credit]]&gt;Table1[[#This Row],[Regular Taxes Owed]],Table1[[#This Row],[Additional Child Tax Credit ]]-Table1[[#This Row],[Regular Taxes Owed]],0)</f>
        <v>2925</v>
      </c>
      <c r="Q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82" s="1">
        <f>Table1[[#This Row],[Effective Additional Child Tax Credit]]+Table1[[#This Row],[Eitc]]</f>
        <v>9194</v>
      </c>
      <c r="S82" s="9">
        <f>Table1[[#This Row],[Regular Taxes Owed - Effective Child Tax Credit]]-Table1[[#This Row],[Total Credits]]</f>
        <v>-9194</v>
      </c>
      <c r="T82" s="9">
        <f>Table1[[#This Row],[taxable wages]]+interest+dividends+short_term_capital_gains+long_term_capital_gains-(charitable_donations+mortgage_interest)</f>
        <v>22500</v>
      </c>
      <c r="U82" s="9">
        <f>MAX(amt_exemption-amt_exemption_phase_out_rate*MAX(Table1[[#This Row],[taxable wages]]-amt_phase_out_begins,0),0)</f>
        <v>83800</v>
      </c>
      <c r="V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2" s="1">
        <f>IF(AND(Table1[[#This Row],[AMT Taxes]]&gt;Table1[[#This Row],[Regular Taxes Owed]],Table1[[#This Row],[AMT Taxes]]&gt;0),Table1[[#This Row],[AMT Taxes]]-Table1[[#This Row],[Regular Taxes Owed]],0)</f>
        <v>0</v>
      </c>
      <c r="X82" s="9">
        <f>Table1[[#This Row],[Extra Taxes From Amt]]+Table1[[#This Row],[Federal Taxes Owed (No AMT)]]</f>
        <v>-9194</v>
      </c>
      <c r="Y82" s="9">
        <f>IF(Table1[[#This Row],[taxable wages]]&gt;obamacare_surcharge_amount,obamacare_surcharge_percent*(Table1[[#This Row],[taxable wages]]-obamacare_surcharge_amount),0)</f>
        <v>0</v>
      </c>
      <c r="Z82" s="9">
        <f>Table1[[#This Row],[Federal Taxes Owed (Includes AMT)]]+Table1[[#This Row],[Obamacare surcharge premium]]</f>
        <v>-9194</v>
      </c>
      <c r="AA82" s="9">
        <f>Table1[[#This Row],[taxable wages]]-Table1[[#This Row],[Federal Taxes Owed2]]</f>
        <v>31694</v>
      </c>
      <c r="AB82" s="51">
        <f t="shared" si="11"/>
        <v>-0.15</v>
      </c>
      <c r="AC82" s="41"/>
      <c r="AD82" s="13"/>
      <c r="AE82" s="13"/>
    </row>
    <row r="83" spans="2:31" x14ac:dyDescent="0.3">
      <c r="B83" s="41">
        <f t="shared" si="12"/>
        <v>23000</v>
      </c>
      <c r="C83" s="1">
        <f>Table1[[#This Row],[taxable wages]]</f>
        <v>23000</v>
      </c>
      <c r="D83" s="1">
        <f>Table1[[#This Row],[taxable wages]]+interest+dividends+short_term_capital_gains+long_term_capital_gains</f>
        <v>23000</v>
      </c>
      <c r="E83" s="1">
        <f>MAX(Table1[[#This Row],[earned income for EITC]:[Agi For Eitc Calc]])</f>
        <v>23000</v>
      </c>
      <c r="F83" s="1">
        <f>Table1[[#This Row],[taxable wages]]+interest+dividends+short_term_capital_gains+long_term_capital_gains-(trad_ira_contributions+MIN(student_loan_interest_cap,student_loan_interest))</f>
        <v>23000</v>
      </c>
      <c r="G83" s="1">
        <f t="shared" si="8"/>
        <v>12600</v>
      </c>
      <c r="H83" s="1">
        <f t="shared" si="9"/>
        <v>28350</v>
      </c>
      <c r="I83" s="1">
        <f>MAX(0,Table1[[#This Row],[Agi]]-Table1[[#This Row],[Exemptions]]-Table1[[#This Row],[Effective Deductions]])</f>
        <v>0</v>
      </c>
      <c r="J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3" s="1">
        <f t="shared" si="10"/>
        <v>5000</v>
      </c>
      <c r="L83" s="1">
        <f>IF(Table1[[#This Row],[Agi]]&gt;ctc_phase_out_begins,ctc_phase_out_rate*(Table1[[#This Row],[Agi]]-ctc_phase_out_begins),0)</f>
        <v>0</v>
      </c>
      <c r="M83" s="1">
        <f>MAX(Table1[[#This Row],[Child Tax Credit]]-Table1[[#This Row],[Child Tax Credit Phase Out]],0)</f>
        <v>5000</v>
      </c>
      <c r="N83" s="1">
        <f>MAX(Table1[[#This Row],[Regular Taxes Owed]]-Table1[[#This Row],[Effective Child Tax Credit]],0)</f>
        <v>0</v>
      </c>
      <c r="O83" s="1">
        <f>MAX(MIN((Table1[[#This Row],[taxable wages]]-3000)*0.15,1000*num_kids_16_younger),0)</f>
        <v>3000</v>
      </c>
      <c r="P83" s="9">
        <f>IF(Table1[[#This Row],[Effective Child Tax Credit]]&gt;Table1[[#This Row],[Regular Taxes Owed]],Table1[[#This Row],[Additional Child Tax Credit ]]-Table1[[#This Row],[Regular Taxes Owed]],0)</f>
        <v>3000</v>
      </c>
      <c r="Q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83" s="1">
        <f>Table1[[#This Row],[Effective Additional Child Tax Credit]]+Table1[[#This Row],[Eitc]]</f>
        <v>9269</v>
      </c>
      <c r="S83" s="9">
        <f>Table1[[#This Row],[Regular Taxes Owed - Effective Child Tax Credit]]-Table1[[#This Row],[Total Credits]]</f>
        <v>-9269</v>
      </c>
      <c r="T83" s="9">
        <f>Table1[[#This Row],[taxable wages]]+interest+dividends+short_term_capital_gains+long_term_capital_gains-(charitable_donations+mortgage_interest)</f>
        <v>23000</v>
      </c>
      <c r="U83" s="9">
        <f>MAX(amt_exemption-amt_exemption_phase_out_rate*MAX(Table1[[#This Row],[taxable wages]]-amt_phase_out_begins,0),0)</f>
        <v>83800</v>
      </c>
      <c r="V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3" s="1">
        <f>IF(AND(Table1[[#This Row],[AMT Taxes]]&gt;Table1[[#This Row],[Regular Taxes Owed]],Table1[[#This Row],[AMT Taxes]]&gt;0),Table1[[#This Row],[AMT Taxes]]-Table1[[#This Row],[Regular Taxes Owed]],0)</f>
        <v>0</v>
      </c>
      <c r="X83" s="9">
        <f>Table1[[#This Row],[Extra Taxes From Amt]]+Table1[[#This Row],[Federal Taxes Owed (No AMT)]]</f>
        <v>-9269</v>
      </c>
      <c r="Y83" s="9">
        <f>IF(Table1[[#This Row],[taxable wages]]&gt;obamacare_surcharge_amount,obamacare_surcharge_percent*(Table1[[#This Row],[taxable wages]]-obamacare_surcharge_amount),0)</f>
        <v>0</v>
      </c>
      <c r="Z83" s="9">
        <f>Table1[[#This Row],[Federal Taxes Owed (Includes AMT)]]+Table1[[#This Row],[Obamacare surcharge premium]]</f>
        <v>-9269</v>
      </c>
      <c r="AA83" s="9">
        <f>Table1[[#This Row],[taxable wages]]-Table1[[#This Row],[Federal Taxes Owed2]]</f>
        <v>32269</v>
      </c>
      <c r="AB83" s="51">
        <f t="shared" si="11"/>
        <v>-0.15</v>
      </c>
      <c r="AC83" s="41"/>
      <c r="AD83" s="13"/>
      <c r="AE83" s="13"/>
    </row>
    <row r="84" spans="2:31" x14ac:dyDescent="0.3">
      <c r="B84" s="41">
        <f t="shared" si="12"/>
        <v>23500</v>
      </c>
      <c r="C84" s="1">
        <f>Table1[[#This Row],[taxable wages]]</f>
        <v>23500</v>
      </c>
      <c r="D84" s="1">
        <f>Table1[[#This Row],[taxable wages]]+interest+dividends+short_term_capital_gains+long_term_capital_gains</f>
        <v>23500</v>
      </c>
      <c r="E84" s="1">
        <f>MAX(Table1[[#This Row],[earned income for EITC]:[Agi For Eitc Calc]])</f>
        <v>23500</v>
      </c>
      <c r="F84" s="1">
        <f>Table1[[#This Row],[taxable wages]]+interest+dividends+short_term_capital_gains+long_term_capital_gains-(trad_ira_contributions+MIN(student_loan_interest_cap,student_loan_interest))</f>
        <v>23500</v>
      </c>
      <c r="G84" s="1">
        <f t="shared" si="8"/>
        <v>12600</v>
      </c>
      <c r="H84" s="1">
        <f t="shared" si="9"/>
        <v>28350</v>
      </c>
      <c r="I84" s="1">
        <f>MAX(0,Table1[[#This Row],[Agi]]-Table1[[#This Row],[Exemptions]]-Table1[[#This Row],[Effective Deductions]])</f>
        <v>0</v>
      </c>
      <c r="J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4" s="1">
        <f t="shared" si="10"/>
        <v>5000</v>
      </c>
      <c r="L84" s="1">
        <f>IF(Table1[[#This Row],[Agi]]&gt;ctc_phase_out_begins,ctc_phase_out_rate*(Table1[[#This Row],[Agi]]-ctc_phase_out_begins),0)</f>
        <v>0</v>
      </c>
      <c r="M84" s="1">
        <f>MAX(Table1[[#This Row],[Child Tax Credit]]-Table1[[#This Row],[Child Tax Credit Phase Out]],0)</f>
        <v>5000</v>
      </c>
      <c r="N84" s="1">
        <f>MAX(Table1[[#This Row],[Regular Taxes Owed]]-Table1[[#This Row],[Effective Child Tax Credit]],0)</f>
        <v>0</v>
      </c>
      <c r="O84" s="1">
        <f>MAX(MIN((Table1[[#This Row],[taxable wages]]-3000)*0.15,1000*num_kids_16_younger),0)</f>
        <v>3075</v>
      </c>
      <c r="P84" s="9">
        <f>IF(Table1[[#This Row],[Effective Child Tax Credit]]&gt;Table1[[#This Row],[Regular Taxes Owed]],Table1[[#This Row],[Additional Child Tax Credit ]]-Table1[[#This Row],[Regular Taxes Owed]],0)</f>
        <v>3075</v>
      </c>
      <c r="Q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6269</v>
      </c>
      <c r="R84" s="1">
        <f>Table1[[#This Row],[Effective Additional Child Tax Credit]]+Table1[[#This Row],[Eitc]]</f>
        <v>9344</v>
      </c>
      <c r="S84" s="9">
        <f>Table1[[#This Row],[Regular Taxes Owed - Effective Child Tax Credit]]-Table1[[#This Row],[Total Credits]]</f>
        <v>-9344</v>
      </c>
      <c r="T84" s="9">
        <f>Table1[[#This Row],[taxable wages]]+interest+dividends+short_term_capital_gains+long_term_capital_gains-(charitable_donations+mortgage_interest)</f>
        <v>23500</v>
      </c>
      <c r="U84" s="9">
        <f>MAX(amt_exemption-amt_exemption_phase_out_rate*MAX(Table1[[#This Row],[taxable wages]]-amt_phase_out_begins,0),0)</f>
        <v>83800</v>
      </c>
      <c r="V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4" s="1">
        <f>IF(AND(Table1[[#This Row],[AMT Taxes]]&gt;Table1[[#This Row],[Regular Taxes Owed]],Table1[[#This Row],[AMT Taxes]]&gt;0),Table1[[#This Row],[AMT Taxes]]-Table1[[#This Row],[Regular Taxes Owed]],0)</f>
        <v>0</v>
      </c>
      <c r="X84" s="9">
        <f>Table1[[#This Row],[Extra Taxes From Amt]]+Table1[[#This Row],[Federal Taxes Owed (No AMT)]]</f>
        <v>-9344</v>
      </c>
      <c r="Y84" s="9">
        <f>IF(Table1[[#This Row],[taxable wages]]&gt;obamacare_surcharge_amount,obamacare_surcharge_percent*(Table1[[#This Row],[taxable wages]]-obamacare_surcharge_amount),0)</f>
        <v>0</v>
      </c>
      <c r="Z84" s="9">
        <f>Table1[[#This Row],[Federal Taxes Owed (Includes AMT)]]+Table1[[#This Row],[Obamacare surcharge premium]]</f>
        <v>-9344</v>
      </c>
      <c r="AA84" s="9">
        <f>Table1[[#This Row],[taxable wages]]-Table1[[#This Row],[Federal Taxes Owed2]]</f>
        <v>32844</v>
      </c>
      <c r="AB84" s="51">
        <f t="shared" si="11"/>
        <v>-0.15</v>
      </c>
      <c r="AC84" s="41"/>
      <c r="AD84" s="13"/>
      <c r="AE84" s="13"/>
    </row>
    <row r="85" spans="2:31" x14ac:dyDescent="0.3">
      <c r="B85" s="41">
        <f t="shared" si="12"/>
        <v>24000</v>
      </c>
      <c r="C85" s="1">
        <f>Table1[[#This Row],[taxable wages]]</f>
        <v>24000</v>
      </c>
      <c r="D85" s="1">
        <f>Table1[[#This Row],[taxable wages]]+interest+dividends+short_term_capital_gains+long_term_capital_gains</f>
        <v>24000</v>
      </c>
      <c r="E85" s="1">
        <f>MAX(Table1[[#This Row],[earned income for EITC]:[Agi For Eitc Calc]])</f>
        <v>24000</v>
      </c>
      <c r="F85" s="1">
        <f>Table1[[#This Row],[taxable wages]]+interest+dividends+short_term_capital_gains+long_term_capital_gains-(trad_ira_contributions+MIN(student_loan_interest_cap,student_loan_interest))</f>
        <v>24000</v>
      </c>
      <c r="G85" s="1">
        <f t="shared" si="8"/>
        <v>12600</v>
      </c>
      <c r="H85" s="1">
        <f t="shared" si="9"/>
        <v>28350</v>
      </c>
      <c r="I85" s="1">
        <f>MAX(0,Table1[[#This Row],[Agi]]-Table1[[#This Row],[Exemptions]]-Table1[[#This Row],[Effective Deductions]])</f>
        <v>0</v>
      </c>
      <c r="J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5" s="1">
        <f t="shared" si="10"/>
        <v>5000</v>
      </c>
      <c r="L85" s="1">
        <f>IF(Table1[[#This Row],[Agi]]&gt;ctc_phase_out_begins,ctc_phase_out_rate*(Table1[[#This Row],[Agi]]-ctc_phase_out_begins),0)</f>
        <v>0</v>
      </c>
      <c r="M85" s="1">
        <f>MAX(Table1[[#This Row],[Child Tax Credit]]-Table1[[#This Row],[Child Tax Credit Phase Out]],0)</f>
        <v>5000</v>
      </c>
      <c r="N85" s="1">
        <f>MAX(Table1[[#This Row],[Regular Taxes Owed]]-Table1[[#This Row],[Effective Child Tax Credit]],0)</f>
        <v>0</v>
      </c>
      <c r="O85" s="1">
        <f>MAX(MIN((Table1[[#This Row],[taxable wages]]-3000)*0.15,1000*num_kids_16_younger),0)</f>
        <v>3150</v>
      </c>
      <c r="P85" s="9">
        <f>IF(Table1[[#This Row],[Effective Child Tax Credit]]&gt;Table1[[#This Row],[Regular Taxes Owed]],Table1[[#This Row],[Additional Child Tax Credit ]]-Table1[[#This Row],[Regular Taxes Owed]],0)</f>
        <v>3150</v>
      </c>
      <c r="Q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6214.2446169620625</v>
      </c>
      <c r="R85" s="1">
        <f>Table1[[#This Row],[Effective Additional Child Tax Credit]]+Table1[[#This Row],[Eitc]]</f>
        <v>9364.2446169620634</v>
      </c>
      <c r="S85" s="9">
        <f>Table1[[#This Row],[Regular Taxes Owed - Effective Child Tax Credit]]-Table1[[#This Row],[Total Credits]]</f>
        <v>-9364.2446169620634</v>
      </c>
      <c r="T85" s="9">
        <f>Table1[[#This Row],[taxable wages]]+interest+dividends+short_term_capital_gains+long_term_capital_gains-(charitable_donations+mortgage_interest)</f>
        <v>24000</v>
      </c>
      <c r="U85" s="9">
        <f>MAX(amt_exemption-amt_exemption_phase_out_rate*MAX(Table1[[#This Row],[taxable wages]]-amt_phase_out_begins,0),0)</f>
        <v>83800</v>
      </c>
      <c r="V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5" s="1">
        <f>IF(AND(Table1[[#This Row],[AMT Taxes]]&gt;Table1[[#This Row],[Regular Taxes Owed]],Table1[[#This Row],[AMT Taxes]]&gt;0),Table1[[#This Row],[AMT Taxes]]-Table1[[#This Row],[Regular Taxes Owed]],0)</f>
        <v>0</v>
      </c>
      <c r="X85" s="9">
        <f>Table1[[#This Row],[Extra Taxes From Amt]]+Table1[[#This Row],[Federal Taxes Owed (No AMT)]]</f>
        <v>-9364.2446169620634</v>
      </c>
      <c r="Y85" s="9">
        <f>IF(Table1[[#This Row],[taxable wages]]&gt;obamacare_surcharge_amount,obamacare_surcharge_percent*(Table1[[#This Row],[taxable wages]]-obamacare_surcharge_amount),0)</f>
        <v>0</v>
      </c>
      <c r="Z85" s="9">
        <f>Table1[[#This Row],[Federal Taxes Owed (Includes AMT)]]+Table1[[#This Row],[Obamacare surcharge premium]]</f>
        <v>-9364.2446169620634</v>
      </c>
      <c r="AA85" s="9">
        <f>Table1[[#This Row],[taxable wages]]-Table1[[#This Row],[Federal Taxes Owed2]]</f>
        <v>33364.244616962067</v>
      </c>
      <c r="AB85" s="51">
        <f t="shared" si="11"/>
        <v>-4.0489233924126893E-2</v>
      </c>
      <c r="AC85" s="41"/>
      <c r="AD85" s="13"/>
      <c r="AE85" s="13"/>
    </row>
    <row r="86" spans="2:31" x14ac:dyDescent="0.3">
      <c r="B86" s="41">
        <f t="shared" si="12"/>
        <v>24500</v>
      </c>
      <c r="C86" s="1">
        <f>Table1[[#This Row],[taxable wages]]</f>
        <v>24500</v>
      </c>
      <c r="D86" s="1">
        <f>Table1[[#This Row],[taxable wages]]+interest+dividends+short_term_capital_gains+long_term_capital_gains</f>
        <v>24500</v>
      </c>
      <c r="E86" s="1">
        <f>MAX(Table1[[#This Row],[earned income for EITC]:[Agi For Eitc Calc]])</f>
        <v>24500</v>
      </c>
      <c r="F86" s="1">
        <f>Table1[[#This Row],[taxable wages]]+interest+dividends+short_term_capital_gains+long_term_capital_gains-(trad_ira_contributions+MIN(student_loan_interest_cap,student_loan_interest))</f>
        <v>24500</v>
      </c>
      <c r="G86" s="1">
        <f t="shared" si="8"/>
        <v>12600</v>
      </c>
      <c r="H86" s="1">
        <f t="shared" si="9"/>
        <v>28350</v>
      </c>
      <c r="I86" s="1">
        <f>MAX(0,Table1[[#This Row],[Agi]]-Table1[[#This Row],[Exemptions]]-Table1[[#This Row],[Effective Deductions]])</f>
        <v>0</v>
      </c>
      <c r="J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6" s="1">
        <f t="shared" si="10"/>
        <v>5000</v>
      </c>
      <c r="L86" s="1">
        <f>IF(Table1[[#This Row],[Agi]]&gt;ctc_phase_out_begins,ctc_phase_out_rate*(Table1[[#This Row],[Agi]]-ctc_phase_out_begins),0)</f>
        <v>0</v>
      </c>
      <c r="M86" s="1">
        <f>MAX(Table1[[#This Row],[Child Tax Credit]]-Table1[[#This Row],[Child Tax Credit Phase Out]],0)</f>
        <v>5000</v>
      </c>
      <c r="N86" s="1">
        <f>MAX(Table1[[#This Row],[Regular Taxes Owed]]-Table1[[#This Row],[Effective Child Tax Credit]],0)</f>
        <v>0</v>
      </c>
      <c r="O86" s="1">
        <f>MAX(MIN((Table1[[#This Row],[taxable wages]]-3000)*0.15,1000*num_kids_16_younger),0)</f>
        <v>3225</v>
      </c>
      <c r="P86" s="9">
        <f>IF(Table1[[#This Row],[Effective Child Tax Credit]]&gt;Table1[[#This Row],[Regular Taxes Owed]],Table1[[#This Row],[Additional Child Tax Credit ]]-Table1[[#This Row],[Regular Taxes Owed]],0)</f>
        <v>3225</v>
      </c>
      <c r="Q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6108.9458034275667</v>
      </c>
      <c r="R86" s="1">
        <f>Table1[[#This Row],[Effective Additional Child Tax Credit]]+Table1[[#This Row],[Eitc]]</f>
        <v>9333.9458034275667</v>
      </c>
      <c r="S86" s="9">
        <f>Table1[[#This Row],[Regular Taxes Owed - Effective Child Tax Credit]]-Table1[[#This Row],[Total Credits]]</f>
        <v>-9333.9458034275667</v>
      </c>
      <c r="T86" s="9">
        <f>Table1[[#This Row],[taxable wages]]+interest+dividends+short_term_capital_gains+long_term_capital_gains-(charitable_donations+mortgage_interest)</f>
        <v>24500</v>
      </c>
      <c r="U86" s="9">
        <f>MAX(amt_exemption-amt_exemption_phase_out_rate*MAX(Table1[[#This Row],[taxable wages]]-amt_phase_out_begins,0),0)</f>
        <v>83800</v>
      </c>
      <c r="V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6" s="1">
        <f>IF(AND(Table1[[#This Row],[AMT Taxes]]&gt;Table1[[#This Row],[Regular Taxes Owed]],Table1[[#This Row],[AMT Taxes]]&gt;0),Table1[[#This Row],[AMT Taxes]]-Table1[[#This Row],[Regular Taxes Owed]],0)</f>
        <v>0</v>
      </c>
      <c r="X86" s="9">
        <f>Table1[[#This Row],[Extra Taxes From Amt]]+Table1[[#This Row],[Federal Taxes Owed (No AMT)]]</f>
        <v>-9333.9458034275667</v>
      </c>
      <c r="Y86" s="9">
        <f>IF(Table1[[#This Row],[taxable wages]]&gt;obamacare_surcharge_amount,obamacare_surcharge_percent*(Table1[[#This Row],[taxable wages]]-obamacare_surcharge_amount),0)</f>
        <v>0</v>
      </c>
      <c r="Z86" s="9">
        <f>Table1[[#This Row],[Federal Taxes Owed (Includes AMT)]]+Table1[[#This Row],[Obamacare surcharge premium]]</f>
        <v>-9333.9458034275667</v>
      </c>
      <c r="AA86" s="9">
        <f>Table1[[#This Row],[taxable wages]]-Table1[[#This Row],[Federal Taxes Owed2]]</f>
        <v>33833.945803427567</v>
      </c>
      <c r="AB86" s="51">
        <f t="shared" si="11"/>
        <v>6.0597627068993458E-2</v>
      </c>
      <c r="AC86" s="41"/>
      <c r="AD86" s="13"/>
      <c r="AE86" s="13"/>
    </row>
    <row r="87" spans="2:31" x14ac:dyDescent="0.3">
      <c r="B87" s="41">
        <f t="shared" si="12"/>
        <v>25000</v>
      </c>
      <c r="C87" s="1">
        <f>Table1[[#This Row],[taxable wages]]</f>
        <v>25000</v>
      </c>
      <c r="D87" s="1">
        <f>Table1[[#This Row],[taxable wages]]+interest+dividends+short_term_capital_gains+long_term_capital_gains</f>
        <v>25000</v>
      </c>
      <c r="E87" s="1">
        <f>MAX(Table1[[#This Row],[earned income for EITC]:[Agi For Eitc Calc]])</f>
        <v>25000</v>
      </c>
      <c r="F87" s="1">
        <f>Table1[[#This Row],[taxable wages]]+interest+dividends+short_term_capital_gains+long_term_capital_gains-(trad_ira_contributions+MIN(student_loan_interest_cap,student_loan_interest))</f>
        <v>25000</v>
      </c>
      <c r="G87" s="1">
        <f t="shared" si="8"/>
        <v>12600</v>
      </c>
      <c r="H87" s="1">
        <f t="shared" si="9"/>
        <v>28350</v>
      </c>
      <c r="I87" s="1">
        <f>MAX(0,Table1[[#This Row],[Agi]]-Table1[[#This Row],[Exemptions]]-Table1[[#This Row],[Effective Deductions]])</f>
        <v>0</v>
      </c>
      <c r="J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7" s="1">
        <f t="shared" si="10"/>
        <v>5000</v>
      </c>
      <c r="L87" s="1">
        <f>IF(Table1[[#This Row],[Agi]]&gt;ctc_phase_out_begins,ctc_phase_out_rate*(Table1[[#This Row],[Agi]]-ctc_phase_out_begins),0)</f>
        <v>0</v>
      </c>
      <c r="M87" s="1">
        <f>MAX(Table1[[#This Row],[Child Tax Credit]]-Table1[[#This Row],[Child Tax Credit Phase Out]],0)</f>
        <v>5000</v>
      </c>
      <c r="N87" s="1">
        <f>MAX(Table1[[#This Row],[Regular Taxes Owed]]-Table1[[#This Row],[Effective Child Tax Credit]],0)</f>
        <v>0</v>
      </c>
      <c r="O87" s="1">
        <f>MAX(MIN((Table1[[#This Row],[taxable wages]]-3000)*0.15,1000*num_kids_16_younger),0)</f>
        <v>3300</v>
      </c>
      <c r="P87" s="9">
        <f>IF(Table1[[#This Row],[Effective Child Tax Credit]]&gt;Table1[[#This Row],[Regular Taxes Owed]],Table1[[#This Row],[Additional Child Tax Credit ]]-Table1[[#This Row],[Regular Taxes Owed]],0)</f>
        <v>3300</v>
      </c>
      <c r="Q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6003.6469898930718</v>
      </c>
      <c r="R87" s="1">
        <f>Table1[[#This Row],[Effective Additional Child Tax Credit]]+Table1[[#This Row],[Eitc]]</f>
        <v>9303.6469898930718</v>
      </c>
      <c r="S87" s="9">
        <f>Table1[[#This Row],[Regular Taxes Owed - Effective Child Tax Credit]]-Table1[[#This Row],[Total Credits]]</f>
        <v>-9303.6469898930718</v>
      </c>
      <c r="T87" s="9">
        <f>Table1[[#This Row],[taxable wages]]+interest+dividends+short_term_capital_gains+long_term_capital_gains-(charitable_donations+mortgage_interest)</f>
        <v>25000</v>
      </c>
      <c r="U87" s="9">
        <f>MAX(amt_exemption-amt_exemption_phase_out_rate*MAX(Table1[[#This Row],[taxable wages]]-amt_phase_out_begins,0),0)</f>
        <v>83800</v>
      </c>
      <c r="V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7" s="1">
        <f>IF(AND(Table1[[#This Row],[AMT Taxes]]&gt;Table1[[#This Row],[Regular Taxes Owed]],Table1[[#This Row],[AMT Taxes]]&gt;0),Table1[[#This Row],[AMT Taxes]]-Table1[[#This Row],[Regular Taxes Owed]],0)</f>
        <v>0</v>
      </c>
      <c r="X87" s="9">
        <f>Table1[[#This Row],[Extra Taxes From Amt]]+Table1[[#This Row],[Federal Taxes Owed (No AMT)]]</f>
        <v>-9303.6469898930718</v>
      </c>
      <c r="Y87" s="9">
        <f>IF(Table1[[#This Row],[taxable wages]]&gt;obamacare_surcharge_amount,obamacare_surcharge_percent*(Table1[[#This Row],[taxable wages]]-obamacare_surcharge_amount),0)</f>
        <v>0</v>
      </c>
      <c r="Z87" s="9">
        <f>Table1[[#This Row],[Federal Taxes Owed (Includes AMT)]]+Table1[[#This Row],[Obamacare surcharge premium]]</f>
        <v>-9303.6469898930718</v>
      </c>
      <c r="AA87" s="9">
        <f>Table1[[#This Row],[taxable wages]]-Table1[[#This Row],[Federal Taxes Owed2]]</f>
        <v>34303.646989893074</v>
      </c>
      <c r="AB87" s="51">
        <f t="shared" si="11"/>
        <v>6.0597627068989822E-2</v>
      </c>
      <c r="AC87" s="41"/>
      <c r="AD87" s="13"/>
      <c r="AE87" s="13"/>
    </row>
    <row r="88" spans="2:31" x14ac:dyDescent="0.3">
      <c r="B88" s="41">
        <f t="shared" si="12"/>
        <v>25500</v>
      </c>
      <c r="C88" s="1">
        <f>Table1[[#This Row],[taxable wages]]</f>
        <v>25500</v>
      </c>
      <c r="D88" s="1">
        <f>Table1[[#This Row],[taxable wages]]+interest+dividends+short_term_capital_gains+long_term_capital_gains</f>
        <v>25500</v>
      </c>
      <c r="E88" s="1">
        <f>MAX(Table1[[#This Row],[earned income for EITC]:[Agi For Eitc Calc]])</f>
        <v>25500</v>
      </c>
      <c r="F88" s="1">
        <f>Table1[[#This Row],[taxable wages]]+interest+dividends+short_term_capital_gains+long_term_capital_gains-(trad_ira_contributions+MIN(student_loan_interest_cap,student_loan_interest))</f>
        <v>25500</v>
      </c>
      <c r="G88" s="1">
        <f t="shared" si="8"/>
        <v>12600</v>
      </c>
      <c r="H88" s="1">
        <f t="shared" si="9"/>
        <v>28350</v>
      </c>
      <c r="I88" s="1">
        <f>MAX(0,Table1[[#This Row],[Agi]]-Table1[[#This Row],[Exemptions]]-Table1[[#This Row],[Effective Deductions]])</f>
        <v>0</v>
      </c>
      <c r="J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8" s="1">
        <f t="shared" si="10"/>
        <v>5000</v>
      </c>
      <c r="L88" s="1">
        <f>IF(Table1[[#This Row],[Agi]]&gt;ctc_phase_out_begins,ctc_phase_out_rate*(Table1[[#This Row],[Agi]]-ctc_phase_out_begins),0)</f>
        <v>0</v>
      </c>
      <c r="M88" s="1">
        <f>MAX(Table1[[#This Row],[Child Tax Credit]]-Table1[[#This Row],[Child Tax Credit Phase Out]],0)</f>
        <v>5000</v>
      </c>
      <c r="N88" s="1">
        <f>MAX(Table1[[#This Row],[Regular Taxes Owed]]-Table1[[#This Row],[Effective Child Tax Credit]],0)</f>
        <v>0</v>
      </c>
      <c r="O88" s="1">
        <f>MAX(MIN((Table1[[#This Row],[taxable wages]]-3000)*0.15,1000*num_kids_16_younger),0)</f>
        <v>3375</v>
      </c>
      <c r="P88" s="9">
        <f>IF(Table1[[#This Row],[Effective Child Tax Credit]]&gt;Table1[[#This Row],[Regular Taxes Owed]],Table1[[#This Row],[Additional Child Tax Credit ]]-Table1[[#This Row],[Regular Taxes Owed]],0)</f>
        <v>3375</v>
      </c>
      <c r="Q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5898.348176358576</v>
      </c>
      <c r="R88" s="1">
        <f>Table1[[#This Row],[Effective Additional Child Tax Credit]]+Table1[[#This Row],[Eitc]]</f>
        <v>9273.3481763585769</v>
      </c>
      <c r="S88" s="9">
        <f>Table1[[#This Row],[Regular Taxes Owed - Effective Child Tax Credit]]-Table1[[#This Row],[Total Credits]]</f>
        <v>-9273.3481763585769</v>
      </c>
      <c r="T88" s="9">
        <f>Table1[[#This Row],[taxable wages]]+interest+dividends+short_term_capital_gains+long_term_capital_gains-(charitable_donations+mortgage_interest)</f>
        <v>25500</v>
      </c>
      <c r="U88" s="9">
        <f>MAX(amt_exemption-amt_exemption_phase_out_rate*MAX(Table1[[#This Row],[taxable wages]]-amt_phase_out_begins,0),0)</f>
        <v>83800</v>
      </c>
      <c r="V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8" s="1">
        <f>IF(AND(Table1[[#This Row],[AMT Taxes]]&gt;Table1[[#This Row],[Regular Taxes Owed]],Table1[[#This Row],[AMT Taxes]]&gt;0),Table1[[#This Row],[AMT Taxes]]-Table1[[#This Row],[Regular Taxes Owed]],0)</f>
        <v>0</v>
      </c>
      <c r="X88" s="9">
        <f>Table1[[#This Row],[Extra Taxes From Amt]]+Table1[[#This Row],[Federal Taxes Owed (No AMT)]]</f>
        <v>-9273.3481763585769</v>
      </c>
      <c r="Y88" s="9">
        <f>IF(Table1[[#This Row],[taxable wages]]&gt;obamacare_surcharge_amount,obamacare_surcharge_percent*(Table1[[#This Row],[taxable wages]]-obamacare_surcharge_amount),0)</f>
        <v>0</v>
      </c>
      <c r="Z88" s="9">
        <f>Table1[[#This Row],[Federal Taxes Owed (Includes AMT)]]+Table1[[#This Row],[Obamacare surcharge premium]]</f>
        <v>-9273.3481763585769</v>
      </c>
      <c r="AA88" s="9">
        <f>Table1[[#This Row],[taxable wages]]-Table1[[#This Row],[Federal Taxes Owed2]]</f>
        <v>34773.348176358573</v>
      </c>
      <c r="AB88" s="51">
        <f t="shared" si="11"/>
        <v>6.0597627068989822E-2</v>
      </c>
      <c r="AC88" s="41"/>
      <c r="AD88" s="13"/>
      <c r="AE88" s="13"/>
    </row>
    <row r="89" spans="2:31" x14ac:dyDescent="0.3">
      <c r="B89" s="41">
        <f t="shared" si="12"/>
        <v>26000</v>
      </c>
      <c r="C89" s="1">
        <f>Table1[[#This Row],[taxable wages]]</f>
        <v>26000</v>
      </c>
      <c r="D89" s="1">
        <f>Table1[[#This Row],[taxable wages]]+interest+dividends+short_term_capital_gains+long_term_capital_gains</f>
        <v>26000</v>
      </c>
      <c r="E89" s="1">
        <f>MAX(Table1[[#This Row],[earned income for EITC]:[Agi For Eitc Calc]])</f>
        <v>26000</v>
      </c>
      <c r="F89" s="1">
        <f>Table1[[#This Row],[taxable wages]]+interest+dividends+short_term_capital_gains+long_term_capital_gains-(trad_ira_contributions+MIN(student_loan_interest_cap,student_loan_interest))</f>
        <v>26000</v>
      </c>
      <c r="G89" s="1">
        <f t="shared" si="8"/>
        <v>12600</v>
      </c>
      <c r="H89" s="1">
        <f t="shared" si="9"/>
        <v>28350</v>
      </c>
      <c r="I89" s="1">
        <f>MAX(0,Table1[[#This Row],[Agi]]-Table1[[#This Row],[Exemptions]]-Table1[[#This Row],[Effective Deductions]])</f>
        <v>0</v>
      </c>
      <c r="J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89" s="1">
        <f t="shared" si="10"/>
        <v>5000</v>
      </c>
      <c r="L89" s="1">
        <f>IF(Table1[[#This Row],[Agi]]&gt;ctc_phase_out_begins,ctc_phase_out_rate*(Table1[[#This Row],[Agi]]-ctc_phase_out_begins),0)</f>
        <v>0</v>
      </c>
      <c r="M89" s="1">
        <f>MAX(Table1[[#This Row],[Child Tax Credit]]-Table1[[#This Row],[Child Tax Credit Phase Out]],0)</f>
        <v>5000</v>
      </c>
      <c r="N89" s="1">
        <f>MAX(Table1[[#This Row],[Regular Taxes Owed]]-Table1[[#This Row],[Effective Child Tax Credit]],0)</f>
        <v>0</v>
      </c>
      <c r="O89" s="1">
        <f>MAX(MIN((Table1[[#This Row],[taxable wages]]-3000)*0.15,1000*num_kids_16_younger),0)</f>
        <v>3450</v>
      </c>
      <c r="P89" s="9">
        <f>IF(Table1[[#This Row],[Effective Child Tax Credit]]&gt;Table1[[#This Row],[Regular Taxes Owed]],Table1[[#This Row],[Additional Child Tax Credit ]]-Table1[[#This Row],[Regular Taxes Owed]],0)</f>
        <v>3450</v>
      </c>
      <c r="Q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5793.0493628240811</v>
      </c>
      <c r="R89" s="1">
        <f>Table1[[#This Row],[Effective Additional Child Tax Credit]]+Table1[[#This Row],[Eitc]]</f>
        <v>9243.0493628240802</v>
      </c>
      <c r="S89" s="9">
        <f>Table1[[#This Row],[Regular Taxes Owed - Effective Child Tax Credit]]-Table1[[#This Row],[Total Credits]]</f>
        <v>-9243.0493628240802</v>
      </c>
      <c r="T89" s="9">
        <f>Table1[[#This Row],[taxable wages]]+interest+dividends+short_term_capital_gains+long_term_capital_gains-(charitable_donations+mortgage_interest)</f>
        <v>26000</v>
      </c>
      <c r="U89" s="9">
        <f>MAX(amt_exemption-amt_exemption_phase_out_rate*MAX(Table1[[#This Row],[taxable wages]]-amt_phase_out_begins,0),0)</f>
        <v>83800</v>
      </c>
      <c r="V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89" s="1">
        <f>IF(AND(Table1[[#This Row],[AMT Taxes]]&gt;Table1[[#This Row],[Regular Taxes Owed]],Table1[[#This Row],[AMT Taxes]]&gt;0),Table1[[#This Row],[AMT Taxes]]-Table1[[#This Row],[Regular Taxes Owed]],0)</f>
        <v>0</v>
      </c>
      <c r="X89" s="9">
        <f>Table1[[#This Row],[Extra Taxes From Amt]]+Table1[[#This Row],[Federal Taxes Owed (No AMT)]]</f>
        <v>-9243.0493628240802</v>
      </c>
      <c r="Y89" s="9">
        <f>IF(Table1[[#This Row],[taxable wages]]&gt;obamacare_surcharge_amount,obamacare_surcharge_percent*(Table1[[#This Row],[taxable wages]]-obamacare_surcharge_amount),0)</f>
        <v>0</v>
      </c>
      <c r="Z89" s="9">
        <f>Table1[[#This Row],[Federal Taxes Owed (Includes AMT)]]+Table1[[#This Row],[Obamacare surcharge premium]]</f>
        <v>-9243.0493628240802</v>
      </c>
      <c r="AA89" s="9">
        <f>Table1[[#This Row],[taxable wages]]-Table1[[#This Row],[Federal Taxes Owed2]]</f>
        <v>35243.04936282408</v>
      </c>
      <c r="AB89" s="51">
        <f t="shared" si="11"/>
        <v>6.0597627068993458E-2</v>
      </c>
      <c r="AC89" s="41"/>
      <c r="AD89" s="13"/>
      <c r="AE89" s="13"/>
    </row>
    <row r="90" spans="2:31" x14ac:dyDescent="0.3">
      <c r="B90" s="41">
        <f t="shared" si="12"/>
        <v>26500</v>
      </c>
      <c r="C90" s="1">
        <f>Table1[[#This Row],[taxable wages]]</f>
        <v>26500</v>
      </c>
      <c r="D90" s="1">
        <f>Table1[[#This Row],[taxable wages]]+interest+dividends+short_term_capital_gains+long_term_capital_gains</f>
        <v>26500</v>
      </c>
      <c r="E90" s="1">
        <f>MAX(Table1[[#This Row],[earned income for EITC]:[Agi For Eitc Calc]])</f>
        <v>26500</v>
      </c>
      <c r="F90" s="1">
        <f>Table1[[#This Row],[taxable wages]]+interest+dividends+short_term_capital_gains+long_term_capital_gains-(trad_ira_contributions+MIN(student_loan_interest_cap,student_loan_interest))</f>
        <v>26500</v>
      </c>
      <c r="G90" s="1">
        <f t="shared" si="8"/>
        <v>12600</v>
      </c>
      <c r="H90" s="1">
        <f t="shared" si="9"/>
        <v>28350</v>
      </c>
      <c r="I90" s="1">
        <f>MAX(0,Table1[[#This Row],[Agi]]-Table1[[#This Row],[Exemptions]]-Table1[[#This Row],[Effective Deductions]])</f>
        <v>0</v>
      </c>
      <c r="J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0" s="1">
        <f t="shared" si="10"/>
        <v>5000</v>
      </c>
      <c r="L90" s="1">
        <f>IF(Table1[[#This Row],[Agi]]&gt;ctc_phase_out_begins,ctc_phase_out_rate*(Table1[[#This Row],[Agi]]-ctc_phase_out_begins),0)</f>
        <v>0</v>
      </c>
      <c r="M90" s="1">
        <f>MAX(Table1[[#This Row],[Child Tax Credit]]-Table1[[#This Row],[Child Tax Credit Phase Out]],0)</f>
        <v>5000</v>
      </c>
      <c r="N90" s="1">
        <f>MAX(Table1[[#This Row],[Regular Taxes Owed]]-Table1[[#This Row],[Effective Child Tax Credit]],0)</f>
        <v>0</v>
      </c>
      <c r="O90" s="1">
        <f>MAX(MIN((Table1[[#This Row],[taxable wages]]-3000)*0.15,1000*num_kids_16_younger),0)</f>
        <v>3525</v>
      </c>
      <c r="P90" s="9">
        <f>IF(Table1[[#This Row],[Effective Child Tax Credit]]&gt;Table1[[#This Row],[Regular Taxes Owed]],Table1[[#This Row],[Additional Child Tax Credit ]]-Table1[[#This Row],[Regular Taxes Owed]],0)</f>
        <v>3525</v>
      </c>
      <c r="Q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5687.7505492895853</v>
      </c>
      <c r="R90" s="1">
        <f>Table1[[#This Row],[Effective Additional Child Tax Credit]]+Table1[[#This Row],[Eitc]]</f>
        <v>9212.7505492895853</v>
      </c>
      <c r="S90" s="9">
        <f>Table1[[#This Row],[Regular Taxes Owed - Effective Child Tax Credit]]-Table1[[#This Row],[Total Credits]]</f>
        <v>-9212.7505492895853</v>
      </c>
      <c r="T90" s="9">
        <f>Table1[[#This Row],[taxable wages]]+interest+dividends+short_term_capital_gains+long_term_capital_gains-(charitable_donations+mortgage_interest)</f>
        <v>26500</v>
      </c>
      <c r="U90" s="9">
        <f>MAX(amt_exemption-amt_exemption_phase_out_rate*MAX(Table1[[#This Row],[taxable wages]]-amt_phase_out_begins,0),0)</f>
        <v>83800</v>
      </c>
      <c r="V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0" s="1">
        <f>IF(AND(Table1[[#This Row],[AMT Taxes]]&gt;Table1[[#This Row],[Regular Taxes Owed]],Table1[[#This Row],[AMT Taxes]]&gt;0),Table1[[#This Row],[AMT Taxes]]-Table1[[#This Row],[Regular Taxes Owed]],0)</f>
        <v>0</v>
      </c>
      <c r="X90" s="9">
        <f>Table1[[#This Row],[Extra Taxes From Amt]]+Table1[[#This Row],[Federal Taxes Owed (No AMT)]]</f>
        <v>-9212.7505492895853</v>
      </c>
      <c r="Y90" s="9">
        <f>IF(Table1[[#This Row],[taxable wages]]&gt;obamacare_surcharge_amount,obamacare_surcharge_percent*(Table1[[#This Row],[taxable wages]]-obamacare_surcharge_amount),0)</f>
        <v>0</v>
      </c>
      <c r="Z90" s="9">
        <f>Table1[[#This Row],[Federal Taxes Owed (Includes AMT)]]+Table1[[#This Row],[Obamacare surcharge premium]]</f>
        <v>-9212.7505492895853</v>
      </c>
      <c r="AA90" s="9">
        <f>Table1[[#This Row],[taxable wages]]-Table1[[#This Row],[Federal Taxes Owed2]]</f>
        <v>35712.750549289587</v>
      </c>
      <c r="AB90" s="51">
        <f t="shared" si="11"/>
        <v>6.0597627068989822E-2</v>
      </c>
      <c r="AC90" s="41"/>
      <c r="AD90" s="13"/>
      <c r="AE90" s="13"/>
    </row>
    <row r="91" spans="2:31" x14ac:dyDescent="0.3">
      <c r="B91" s="41">
        <f t="shared" si="12"/>
        <v>27000</v>
      </c>
      <c r="C91" s="1">
        <f>Table1[[#This Row],[taxable wages]]</f>
        <v>27000</v>
      </c>
      <c r="D91" s="1">
        <f>Table1[[#This Row],[taxable wages]]+interest+dividends+short_term_capital_gains+long_term_capital_gains</f>
        <v>27000</v>
      </c>
      <c r="E91" s="1">
        <f>MAX(Table1[[#This Row],[earned income for EITC]:[Agi For Eitc Calc]])</f>
        <v>27000</v>
      </c>
      <c r="F91" s="1">
        <f>Table1[[#This Row],[taxable wages]]+interest+dividends+short_term_capital_gains+long_term_capital_gains-(trad_ira_contributions+MIN(student_loan_interest_cap,student_loan_interest))</f>
        <v>27000</v>
      </c>
      <c r="G91" s="1">
        <f t="shared" si="8"/>
        <v>12600</v>
      </c>
      <c r="H91" s="1">
        <f t="shared" si="9"/>
        <v>28350</v>
      </c>
      <c r="I91" s="1">
        <f>MAX(0,Table1[[#This Row],[Agi]]-Table1[[#This Row],[Exemptions]]-Table1[[#This Row],[Effective Deductions]])</f>
        <v>0</v>
      </c>
      <c r="J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1" s="1">
        <f t="shared" si="10"/>
        <v>5000</v>
      </c>
      <c r="L91" s="1">
        <f>IF(Table1[[#This Row],[Agi]]&gt;ctc_phase_out_begins,ctc_phase_out_rate*(Table1[[#This Row],[Agi]]-ctc_phase_out_begins),0)</f>
        <v>0</v>
      </c>
      <c r="M91" s="1">
        <f>MAX(Table1[[#This Row],[Child Tax Credit]]-Table1[[#This Row],[Child Tax Credit Phase Out]],0)</f>
        <v>5000</v>
      </c>
      <c r="N91" s="1">
        <f>MAX(Table1[[#This Row],[Regular Taxes Owed]]-Table1[[#This Row],[Effective Child Tax Credit]],0)</f>
        <v>0</v>
      </c>
      <c r="O91" s="1">
        <f>MAX(MIN((Table1[[#This Row],[taxable wages]]-3000)*0.15,1000*num_kids_16_younger),0)</f>
        <v>3600</v>
      </c>
      <c r="P91" s="9">
        <f>IF(Table1[[#This Row],[Effective Child Tax Credit]]&gt;Table1[[#This Row],[Regular Taxes Owed]],Table1[[#This Row],[Additional Child Tax Credit ]]-Table1[[#This Row],[Regular Taxes Owed]],0)</f>
        <v>3600</v>
      </c>
      <c r="Q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5582.4517357550903</v>
      </c>
      <c r="R91" s="1">
        <f>Table1[[#This Row],[Effective Additional Child Tax Credit]]+Table1[[#This Row],[Eitc]]</f>
        <v>9182.4517357550903</v>
      </c>
      <c r="S91" s="9">
        <f>Table1[[#This Row],[Regular Taxes Owed - Effective Child Tax Credit]]-Table1[[#This Row],[Total Credits]]</f>
        <v>-9182.4517357550903</v>
      </c>
      <c r="T91" s="9">
        <f>Table1[[#This Row],[taxable wages]]+interest+dividends+short_term_capital_gains+long_term_capital_gains-(charitable_donations+mortgage_interest)</f>
        <v>27000</v>
      </c>
      <c r="U91" s="9">
        <f>MAX(amt_exemption-amt_exemption_phase_out_rate*MAX(Table1[[#This Row],[taxable wages]]-amt_phase_out_begins,0),0)</f>
        <v>83800</v>
      </c>
      <c r="V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1" s="1">
        <f>IF(AND(Table1[[#This Row],[AMT Taxes]]&gt;Table1[[#This Row],[Regular Taxes Owed]],Table1[[#This Row],[AMT Taxes]]&gt;0),Table1[[#This Row],[AMT Taxes]]-Table1[[#This Row],[Regular Taxes Owed]],0)</f>
        <v>0</v>
      </c>
      <c r="X91" s="9">
        <f>Table1[[#This Row],[Extra Taxes From Amt]]+Table1[[#This Row],[Federal Taxes Owed (No AMT)]]</f>
        <v>-9182.4517357550903</v>
      </c>
      <c r="Y91" s="9">
        <f>IF(Table1[[#This Row],[taxable wages]]&gt;obamacare_surcharge_amount,obamacare_surcharge_percent*(Table1[[#This Row],[taxable wages]]-obamacare_surcharge_amount),0)</f>
        <v>0</v>
      </c>
      <c r="Z91" s="9">
        <f>Table1[[#This Row],[Federal Taxes Owed (Includes AMT)]]+Table1[[#This Row],[Obamacare surcharge premium]]</f>
        <v>-9182.4517357550903</v>
      </c>
      <c r="AA91" s="9">
        <f>Table1[[#This Row],[taxable wages]]-Table1[[#This Row],[Federal Taxes Owed2]]</f>
        <v>36182.451735755094</v>
      </c>
      <c r="AB91" s="51">
        <f t="shared" si="11"/>
        <v>6.0597627068989822E-2</v>
      </c>
      <c r="AC91" s="41"/>
      <c r="AD91" s="13"/>
      <c r="AE91" s="13"/>
    </row>
    <row r="92" spans="2:31" x14ac:dyDescent="0.3">
      <c r="B92" s="41">
        <f t="shared" si="12"/>
        <v>27500</v>
      </c>
      <c r="C92" s="1">
        <f>Table1[[#This Row],[taxable wages]]</f>
        <v>27500</v>
      </c>
      <c r="D92" s="1">
        <f>Table1[[#This Row],[taxable wages]]+interest+dividends+short_term_capital_gains+long_term_capital_gains</f>
        <v>27500</v>
      </c>
      <c r="E92" s="1">
        <f>MAX(Table1[[#This Row],[earned income for EITC]:[Agi For Eitc Calc]])</f>
        <v>27500</v>
      </c>
      <c r="F92" s="1">
        <f>Table1[[#This Row],[taxable wages]]+interest+dividends+short_term_capital_gains+long_term_capital_gains-(trad_ira_contributions+MIN(student_loan_interest_cap,student_loan_interest))</f>
        <v>27500</v>
      </c>
      <c r="G92" s="1">
        <f t="shared" si="8"/>
        <v>12600</v>
      </c>
      <c r="H92" s="1">
        <f t="shared" si="9"/>
        <v>28350</v>
      </c>
      <c r="I92" s="1">
        <f>MAX(0,Table1[[#This Row],[Agi]]-Table1[[#This Row],[Exemptions]]-Table1[[#This Row],[Effective Deductions]])</f>
        <v>0</v>
      </c>
      <c r="J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2" s="1">
        <f t="shared" si="10"/>
        <v>5000</v>
      </c>
      <c r="L92" s="1">
        <f>IF(Table1[[#This Row],[Agi]]&gt;ctc_phase_out_begins,ctc_phase_out_rate*(Table1[[#This Row],[Agi]]-ctc_phase_out_begins),0)</f>
        <v>0</v>
      </c>
      <c r="M92" s="1">
        <f>MAX(Table1[[#This Row],[Child Tax Credit]]-Table1[[#This Row],[Child Tax Credit Phase Out]],0)</f>
        <v>5000</v>
      </c>
      <c r="N92" s="1">
        <f>MAX(Table1[[#This Row],[Regular Taxes Owed]]-Table1[[#This Row],[Effective Child Tax Credit]],0)</f>
        <v>0</v>
      </c>
      <c r="O92" s="1">
        <f>MAX(MIN((Table1[[#This Row],[taxable wages]]-3000)*0.15,1000*num_kids_16_younger),0)</f>
        <v>3675</v>
      </c>
      <c r="P92" s="9">
        <f>IF(Table1[[#This Row],[Effective Child Tax Credit]]&gt;Table1[[#This Row],[Regular Taxes Owed]],Table1[[#This Row],[Additional Child Tax Credit ]]-Table1[[#This Row],[Regular Taxes Owed]],0)</f>
        <v>3675</v>
      </c>
      <c r="Q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5477.1529222205945</v>
      </c>
      <c r="R92" s="1">
        <f>Table1[[#This Row],[Effective Additional Child Tax Credit]]+Table1[[#This Row],[Eitc]]</f>
        <v>9152.1529222205936</v>
      </c>
      <c r="S92" s="9">
        <f>Table1[[#This Row],[Regular Taxes Owed - Effective Child Tax Credit]]-Table1[[#This Row],[Total Credits]]</f>
        <v>-9152.1529222205936</v>
      </c>
      <c r="T92" s="9">
        <f>Table1[[#This Row],[taxable wages]]+interest+dividends+short_term_capital_gains+long_term_capital_gains-(charitable_donations+mortgage_interest)</f>
        <v>27500</v>
      </c>
      <c r="U92" s="9">
        <f>MAX(amt_exemption-amt_exemption_phase_out_rate*MAX(Table1[[#This Row],[taxable wages]]-amt_phase_out_begins,0),0)</f>
        <v>83800</v>
      </c>
      <c r="V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2" s="1">
        <f>IF(AND(Table1[[#This Row],[AMT Taxes]]&gt;Table1[[#This Row],[Regular Taxes Owed]],Table1[[#This Row],[AMT Taxes]]&gt;0),Table1[[#This Row],[AMT Taxes]]-Table1[[#This Row],[Regular Taxes Owed]],0)</f>
        <v>0</v>
      </c>
      <c r="X92" s="9">
        <f>Table1[[#This Row],[Extra Taxes From Amt]]+Table1[[#This Row],[Federal Taxes Owed (No AMT)]]</f>
        <v>-9152.1529222205936</v>
      </c>
      <c r="Y92" s="9">
        <f>IF(Table1[[#This Row],[taxable wages]]&gt;obamacare_surcharge_amount,obamacare_surcharge_percent*(Table1[[#This Row],[taxable wages]]-obamacare_surcharge_amount),0)</f>
        <v>0</v>
      </c>
      <c r="Z92" s="9">
        <f>Table1[[#This Row],[Federal Taxes Owed (Includes AMT)]]+Table1[[#This Row],[Obamacare surcharge premium]]</f>
        <v>-9152.1529222205936</v>
      </c>
      <c r="AA92" s="9">
        <f>Table1[[#This Row],[taxable wages]]-Table1[[#This Row],[Federal Taxes Owed2]]</f>
        <v>36652.152922220594</v>
      </c>
      <c r="AB92" s="51">
        <f t="shared" si="11"/>
        <v>6.0597627068993458E-2</v>
      </c>
      <c r="AC92" s="41"/>
      <c r="AD92" s="13"/>
      <c r="AE92" s="13"/>
    </row>
    <row r="93" spans="2:31" x14ac:dyDescent="0.3">
      <c r="B93" s="41">
        <f t="shared" si="12"/>
        <v>28000</v>
      </c>
      <c r="C93" s="1">
        <f>Table1[[#This Row],[taxable wages]]</f>
        <v>28000</v>
      </c>
      <c r="D93" s="1">
        <f>Table1[[#This Row],[taxable wages]]+interest+dividends+short_term_capital_gains+long_term_capital_gains</f>
        <v>28000</v>
      </c>
      <c r="E93" s="1">
        <f>MAX(Table1[[#This Row],[earned income for EITC]:[Agi For Eitc Calc]])</f>
        <v>28000</v>
      </c>
      <c r="F93" s="1">
        <f>Table1[[#This Row],[taxable wages]]+interest+dividends+short_term_capital_gains+long_term_capital_gains-(trad_ira_contributions+MIN(student_loan_interest_cap,student_loan_interest))</f>
        <v>28000</v>
      </c>
      <c r="G93" s="1">
        <f t="shared" si="8"/>
        <v>12600</v>
      </c>
      <c r="H93" s="1">
        <f t="shared" si="9"/>
        <v>28350</v>
      </c>
      <c r="I93" s="1">
        <f>MAX(0,Table1[[#This Row],[Agi]]-Table1[[#This Row],[Exemptions]]-Table1[[#This Row],[Effective Deductions]])</f>
        <v>0</v>
      </c>
      <c r="J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3" s="1">
        <f t="shared" si="10"/>
        <v>5000</v>
      </c>
      <c r="L93" s="1">
        <f>IF(Table1[[#This Row],[Agi]]&gt;ctc_phase_out_begins,ctc_phase_out_rate*(Table1[[#This Row],[Agi]]-ctc_phase_out_begins),0)</f>
        <v>0</v>
      </c>
      <c r="M93" s="1">
        <f>MAX(Table1[[#This Row],[Child Tax Credit]]-Table1[[#This Row],[Child Tax Credit Phase Out]],0)</f>
        <v>5000</v>
      </c>
      <c r="N93" s="1">
        <f>MAX(Table1[[#This Row],[Regular Taxes Owed]]-Table1[[#This Row],[Effective Child Tax Credit]],0)</f>
        <v>0</v>
      </c>
      <c r="O93" s="1">
        <f>MAX(MIN((Table1[[#This Row],[taxable wages]]-3000)*0.15,1000*num_kids_16_younger),0)</f>
        <v>3750</v>
      </c>
      <c r="P93" s="9">
        <f>IF(Table1[[#This Row],[Effective Child Tax Credit]]&gt;Table1[[#This Row],[Regular Taxes Owed]],Table1[[#This Row],[Additional Child Tax Credit ]]-Table1[[#This Row],[Regular Taxes Owed]],0)</f>
        <v>3750</v>
      </c>
      <c r="Q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5371.8541086860996</v>
      </c>
      <c r="R93" s="1">
        <f>Table1[[#This Row],[Effective Additional Child Tax Credit]]+Table1[[#This Row],[Eitc]]</f>
        <v>9121.8541086861005</v>
      </c>
      <c r="S93" s="9">
        <f>Table1[[#This Row],[Regular Taxes Owed - Effective Child Tax Credit]]-Table1[[#This Row],[Total Credits]]</f>
        <v>-9121.8541086861005</v>
      </c>
      <c r="T93" s="9">
        <f>Table1[[#This Row],[taxable wages]]+interest+dividends+short_term_capital_gains+long_term_capital_gains-(charitable_donations+mortgage_interest)</f>
        <v>28000</v>
      </c>
      <c r="U93" s="9">
        <f>MAX(amt_exemption-amt_exemption_phase_out_rate*MAX(Table1[[#This Row],[taxable wages]]-amt_phase_out_begins,0),0)</f>
        <v>83800</v>
      </c>
      <c r="V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3" s="1">
        <f>IF(AND(Table1[[#This Row],[AMT Taxes]]&gt;Table1[[#This Row],[Regular Taxes Owed]],Table1[[#This Row],[AMT Taxes]]&gt;0),Table1[[#This Row],[AMT Taxes]]-Table1[[#This Row],[Regular Taxes Owed]],0)</f>
        <v>0</v>
      </c>
      <c r="X93" s="9">
        <f>Table1[[#This Row],[Extra Taxes From Amt]]+Table1[[#This Row],[Federal Taxes Owed (No AMT)]]</f>
        <v>-9121.8541086861005</v>
      </c>
      <c r="Y93" s="9">
        <f>IF(Table1[[#This Row],[taxable wages]]&gt;obamacare_surcharge_amount,obamacare_surcharge_percent*(Table1[[#This Row],[taxable wages]]-obamacare_surcharge_amount),0)</f>
        <v>0</v>
      </c>
      <c r="Z93" s="9">
        <f>Table1[[#This Row],[Federal Taxes Owed (Includes AMT)]]+Table1[[#This Row],[Obamacare surcharge premium]]</f>
        <v>-9121.8541086861005</v>
      </c>
      <c r="AA93" s="9">
        <f>Table1[[#This Row],[taxable wages]]-Table1[[#This Row],[Federal Taxes Owed2]]</f>
        <v>37121.854108686101</v>
      </c>
      <c r="AB93" s="51">
        <f t="shared" si="11"/>
        <v>6.0597627068986186E-2</v>
      </c>
      <c r="AC93" s="41"/>
      <c r="AD93" s="13"/>
      <c r="AE93" s="13"/>
    </row>
    <row r="94" spans="2:31" x14ac:dyDescent="0.3">
      <c r="B94" s="41">
        <f t="shared" si="12"/>
        <v>28500</v>
      </c>
      <c r="C94" s="1">
        <f>Table1[[#This Row],[taxable wages]]</f>
        <v>28500</v>
      </c>
      <c r="D94" s="1">
        <f>Table1[[#This Row],[taxable wages]]+interest+dividends+short_term_capital_gains+long_term_capital_gains</f>
        <v>28500</v>
      </c>
      <c r="E94" s="1">
        <f>MAX(Table1[[#This Row],[earned income for EITC]:[Agi For Eitc Calc]])</f>
        <v>28500</v>
      </c>
      <c r="F94" s="1">
        <f>Table1[[#This Row],[taxable wages]]+interest+dividends+short_term_capital_gains+long_term_capital_gains-(trad_ira_contributions+MIN(student_loan_interest_cap,student_loan_interest))</f>
        <v>28500</v>
      </c>
      <c r="G94" s="1">
        <f t="shared" si="8"/>
        <v>12600</v>
      </c>
      <c r="H94" s="1">
        <f t="shared" si="9"/>
        <v>28350</v>
      </c>
      <c r="I94" s="1">
        <f>MAX(0,Table1[[#This Row],[Agi]]-Table1[[#This Row],[Exemptions]]-Table1[[#This Row],[Effective Deductions]])</f>
        <v>0</v>
      </c>
      <c r="J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4" s="1">
        <f t="shared" si="10"/>
        <v>5000</v>
      </c>
      <c r="L94" s="1">
        <f>IF(Table1[[#This Row],[Agi]]&gt;ctc_phase_out_begins,ctc_phase_out_rate*(Table1[[#This Row],[Agi]]-ctc_phase_out_begins),0)</f>
        <v>0</v>
      </c>
      <c r="M94" s="1">
        <f>MAX(Table1[[#This Row],[Child Tax Credit]]-Table1[[#This Row],[Child Tax Credit Phase Out]],0)</f>
        <v>5000</v>
      </c>
      <c r="N94" s="1">
        <f>MAX(Table1[[#This Row],[Regular Taxes Owed]]-Table1[[#This Row],[Effective Child Tax Credit]],0)</f>
        <v>0</v>
      </c>
      <c r="O94" s="1">
        <f>MAX(MIN((Table1[[#This Row],[taxable wages]]-3000)*0.15,1000*num_kids_16_younger),0)</f>
        <v>3825</v>
      </c>
      <c r="P94" s="9">
        <f>IF(Table1[[#This Row],[Effective Child Tax Credit]]&gt;Table1[[#This Row],[Regular Taxes Owed]],Table1[[#This Row],[Additional Child Tax Credit ]]-Table1[[#This Row],[Regular Taxes Owed]],0)</f>
        <v>3825</v>
      </c>
      <c r="Q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5266.5552951516038</v>
      </c>
      <c r="R94" s="1">
        <f>Table1[[#This Row],[Effective Additional Child Tax Credit]]+Table1[[#This Row],[Eitc]]</f>
        <v>9091.5552951516038</v>
      </c>
      <c r="S94" s="9">
        <f>Table1[[#This Row],[Regular Taxes Owed - Effective Child Tax Credit]]-Table1[[#This Row],[Total Credits]]</f>
        <v>-9091.5552951516038</v>
      </c>
      <c r="T94" s="9">
        <f>Table1[[#This Row],[taxable wages]]+interest+dividends+short_term_capital_gains+long_term_capital_gains-(charitable_donations+mortgage_interest)</f>
        <v>28500</v>
      </c>
      <c r="U94" s="9">
        <f>MAX(amt_exemption-amt_exemption_phase_out_rate*MAX(Table1[[#This Row],[taxable wages]]-amt_phase_out_begins,0),0)</f>
        <v>83800</v>
      </c>
      <c r="V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4" s="1">
        <f>IF(AND(Table1[[#This Row],[AMT Taxes]]&gt;Table1[[#This Row],[Regular Taxes Owed]],Table1[[#This Row],[AMT Taxes]]&gt;0),Table1[[#This Row],[AMT Taxes]]-Table1[[#This Row],[Regular Taxes Owed]],0)</f>
        <v>0</v>
      </c>
      <c r="X94" s="9">
        <f>Table1[[#This Row],[Extra Taxes From Amt]]+Table1[[#This Row],[Federal Taxes Owed (No AMT)]]</f>
        <v>-9091.5552951516038</v>
      </c>
      <c r="Y94" s="9">
        <f>IF(Table1[[#This Row],[taxable wages]]&gt;obamacare_surcharge_amount,obamacare_surcharge_percent*(Table1[[#This Row],[taxable wages]]-obamacare_surcharge_amount),0)</f>
        <v>0</v>
      </c>
      <c r="Z94" s="9">
        <f>Table1[[#This Row],[Federal Taxes Owed (Includes AMT)]]+Table1[[#This Row],[Obamacare surcharge premium]]</f>
        <v>-9091.5552951516038</v>
      </c>
      <c r="AA94" s="9">
        <f>Table1[[#This Row],[taxable wages]]-Table1[[#This Row],[Federal Taxes Owed2]]</f>
        <v>37591.5552951516</v>
      </c>
      <c r="AB94" s="51">
        <f t="shared" si="11"/>
        <v>6.0597627068993458E-2</v>
      </c>
      <c r="AC94" s="41"/>
      <c r="AD94" s="13"/>
      <c r="AE94" s="13"/>
    </row>
    <row r="95" spans="2:31" x14ac:dyDescent="0.3">
      <c r="B95" s="41">
        <f t="shared" si="12"/>
        <v>29000</v>
      </c>
      <c r="C95" s="1">
        <f>Table1[[#This Row],[taxable wages]]</f>
        <v>29000</v>
      </c>
      <c r="D95" s="1">
        <f>Table1[[#This Row],[taxable wages]]+interest+dividends+short_term_capital_gains+long_term_capital_gains</f>
        <v>29000</v>
      </c>
      <c r="E95" s="1">
        <f>MAX(Table1[[#This Row],[earned income for EITC]:[Agi For Eitc Calc]])</f>
        <v>29000</v>
      </c>
      <c r="F95" s="1">
        <f>Table1[[#This Row],[taxable wages]]+interest+dividends+short_term_capital_gains+long_term_capital_gains-(trad_ira_contributions+MIN(student_loan_interest_cap,student_loan_interest))</f>
        <v>29000</v>
      </c>
      <c r="G95" s="1">
        <f t="shared" si="8"/>
        <v>12600</v>
      </c>
      <c r="H95" s="1">
        <f t="shared" si="9"/>
        <v>28350</v>
      </c>
      <c r="I95" s="1">
        <f>MAX(0,Table1[[#This Row],[Agi]]-Table1[[#This Row],[Exemptions]]-Table1[[#This Row],[Effective Deductions]])</f>
        <v>0</v>
      </c>
      <c r="J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5" s="1">
        <f t="shared" si="10"/>
        <v>5000</v>
      </c>
      <c r="L95" s="1">
        <f>IF(Table1[[#This Row],[Agi]]&gt;ctc_phase_out_begins,ctc_phase_out_rate*(Table1[[#This Row],[Agi]]-ctc_phase_out_begins),0)</f>
        <v>0</v>
      </c>
      <c r="M95" s="1">
        <f>MAX(Table1[[#This Row],[Child Tax Credit]]-Table1[[#This Row],[Child Tax Credit Phase Out]],0)</f>
        <v>5000</v>
      </c>
      <c r="N95" s="1">
        <f>MAX(Table1[[#This Row],[Regular Taxes Owed]]-Table1[[#This Row],[Effective Child Tax Credit]],0)</f>
        <v>0</v>
      </c>
      <c r="O95" s="1">
        <f>MAX(MIN((Table1[[#This Row],[taxable wages]]-3000)*0.15,1000*num_kids_16_younger),0)</f>
        <v>3900</v>
      </c>
      <c r="P95" s="9">
        <f>IF(Table1[[#This Row],[Effective Child Tax Credit]]&gt;Table1[[#This Row],[Regular Taxes Owed]],Table1[[#This Row],[Additional Child Tax Credit ]]-Table1[[#This Row],[Regular Taxes Owed]],0)</f>
        <v>3900</v>
      </c>
      <c r="Q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5161.2564816171089</v>
      </c>
      <c r="R95" s="1">
        <f>Table1[[#This Row],[Effective Additional Child Tax Credit]]+Table1[[#This Row],[Eitc]]</f>
        <v>9061.2564816171089</v>
      </c>
      <c r="S95" s="9">
        <f>Table1[[#This Row],[Regular Taxes Owed - Effective Child Tax Credit]]-Table1[[#This Row],[Total Credits]]</f>
        <v>-9061.2564816171089</v>
      </c>
      <c r="T95" s="9">
        <f>Table1[[#This Row],[taxable wages]]+interest+dividends+short_term_capital_gains+long_term_capital_gains-(charitable_donations+mortgage_interest)</f>
        <v>29000</v>
      </c>
      <c r="U95" s="9">
        <f>MAX(amt_exemption-amt_exemption_phase_out_rate*MAX(Table1[[#This Row],[taxable wages]]-amt_phase_out_begins,0),0)</f>
        <v>83800</v>
      </c>
      <c r="V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5" s="1">
        <f>IF(AND(Table1[[#This Row],[AMT Taxes]]&gt;Table1[[#This Row],[Regular Taxes Owed]],Table1[[#This Row],[AMT Taxes]]&gt;0),Table1[[#This Row],[AMT Taxes]]-Table1[[#This Row],[Regular Taxes Owed]],0)</f>
        <v>0</v>
      </c>
      <c r="X95" s="9">
        <f>Table1[[#This Row],[Extra Taxes From Amt]]+Table1[[#This Row],[Federal Taxes Owed (No AMT)]]</f>
        <v>-9061.2564816171089</v>
      </c>
      <c r="Y95" s="9">
        <f>IF(Table1[[#This Row],[taxable wages]]&gt;obamacare_surcharge_amount,obamacare_surcharge_percent*(Table1[[#This Row],[taxable wages]]-obamacare_surcharge_amount),0)</f>
        <v>0</v>
      </c>
      <c r="Z95" s="9">
        <f>Table1[[#This Row],[Federal Taxes Owed (Includes AMT)]]+Table1[[#This Row],[Obamacare surcharge premium]]</f>
        <v>-9061.2564816171089</v>
      </c>
      <c r="AA95" s="9">
        <f>Table1[[#This Row],[taxable wages]]-Table1[[#This Row],[Federal Taxes Owed2]]</f>
        <v>38061.256481617107</v>
      </c>
      <c r="AB95" s="51">
        <f t="shared" si="11"/>
        <v>6.0597627068989822E-2</v>
      </c>
      <c r="AC95" s="41"/>
      <c r="AD95" s="13"/>
      <c r="AE95" s="13"/>
    </row>
    <row r="96" spans="2:31" x14ac:dyDescent="0.3">
      <c r="B96" s="41">
        <f t="shared" si="12"/>
        <v>29500</v>
      </c>
      <c r="C96" s="1">
        <f>Table1[[#This Row],[taxable wages]]</f>
        <v>29500</v>
      </c>
      <c r="D96" s="1">
        <f>Table1[[#This Row],[taxable wages]]+interest+dividends+short_term_capital_gains+long_term_capital_gains</f>
        <v>29500</v>
      </c>
      <c r="E96" s="1">
        <f>MAX(Table1[[#This Row],[earned income for EITC]:[Agi For Eitc Calc]])</f>
        <v>29500</v>
      </c>
      <c r="F96" s="1">
        <f>Table1[[#This Row],[taxable wages]]+interest+dividends+short_term_capital_gains+long_term_capital_gains-(trad_ira_contributions+MIN(student_loan_interest_cap,student_loan_interest))</f>
        <v>29500</v>
      </c>
      <c r="G96" s="1">
        <f t="shared" si="8"/>
        <v>12600</v>
      </c>
      <c r="H96" s="1">
        <f t="shared" si="9"/>
        <v>28350</v>
      </c>
      <c r="I96" s="1">
        <f>MAX(0,Table1[[#This Row],[Agi]]-Table1[[#This Row],[Exemptions]]-Table1[[#This Row],[Effective Deductions]])</f>
        <v>0</v>
      </c>
      <c r="J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6" s="1">
        <f t="shared" si="10"/>
        <v>5000</v>
      </c>
      <c r="L96" s="1">
        <f>IF(Table1[[#This Row],[Agi]]&gt;ctc_phase_out_begins,ctc_phase_out_rate*(Table1[[#This Row],[Agi]]-ctc_phase_out_begins),0)</f>
        <v>0</v>
      </c>
      <c r="M96" s="1">
        <f>MAX(Table1[[#This Row],[Child Tax Credit]]-Table1[[#This Row],[Child Tax Credit Phase Out]],0)</f>
        <v>5000</v>
      </c>
      <c r="N96" s="1">
        <f>MAX(Table1[[#This Row],[Regular Taxes Owed]]-Table1[[#This Row],[Effective Child Tax Credit]],0)</f>
        <v>0</v>
      </c>
      <c r="O96" s="1">
        <f>MAX(MIN((Table1[[#This Row],[taxable wages]]-3000)*0.15,1000*num_kids_16_younger),0)</f>
        <v>3975</v>
      </c>
      <c r="P96" s="9">
        <f>IF(Table1[[#This Row],[Effective Child Tax Credit]]&gt;Table1[[#This Row],[Regular Taxes Owed]],Table1[[#This Row],[Additional Child Tax Credit ]]-Table1[[#This Row],[Regular Taxes Owed]],0)</f>
        <v>3975</v>
      </c>
      <c r="Q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5055.9576680826131</v>
      </c>
      <c r="R96" s="1">
        <f>Table1[[#This Row],[Effective Additional Child Tax Credit]]+Table1[[#This Row],[Eitc]]</f>
        <v>9030.957668082614</v>
      </c>
      <c r="S96" s="9">
        <f>Table1[[#This Row],[Regular Taxes Owed - Effective Child Tax Credit]]-Table1[[#This Row],[Total Credits]]</f>
        <v>-9030.957668082614</v>
      </c>
      <c r="T96" s="9">
        <f>Table1[[#This Row],[taxable wages]]+interest+dividends+short_term_capital_gains+long_term_capital_gains-(charitable_donations+mortgage_interest)</f>
        <v>29500</v>
      </c>
      <c r="U96" s="9">
        <f>MAX(amt_exemption-amt_exemption_phase_out_rate*MAX(Table1[[#This Row],[taxable wages]]-amt_phase_out_begins,0),0)</f>
        <v>83800</v>
      </c>
      <c r="V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6" s="1">
        <f>IF(AND(Table1[[#This Row],[AMT Taxes]]&gt;Table1[[#This Row],[Regular Taxes Owed]],Table1[[#This Row],[AMT Taxes]]&gt;0),Table1[[#This Row],[AMT Taxes]]-Table1[[#This Row],[Regular Taxes Owed]],0)</f>
        <v>0</v>
      </c>
      <c r="X96" s="9">
        <f>Table1[[#This Row],[Extra Taxes From Amt]]+Table1[[#This Row],[Federal Taxes Owed (No AMT)]]</f>
        <v>-9030.957668082614</v>
      </c>
      <c r="Y96" s="9">
        <f>IF(Table1[[#This Row],[taxable wages]]&gt;obamacare_surcharge_amount,obamacare_surcharge_percent*(Table1[[#This Row],[taxable wages]]-obamacare_surcharge_amount),0)</f>
        <v>0</v>
      </c>
      <c r="Z96" s="9">
        <f>Table1[[#This Row],[Federal Taxes Owed (Includes AMT)]]+Table1[[#This Row],[Obamacare surcharge premium]]</f>
        <v>-9030.957668082614</v>
      </c>
      <c r="AA96" s="9">
        <f>Table1[[#This Row],[taxable wages]]-Table1[[#This Row],[Federal Taxes Owed2]]</f>
        <v>38530.957668082614</v>
      </c>
      <c r="AB96" s="51">
        <f t="shared" si="11"/>
        <v>6.0597627068989822E-2</v>
      </c>
      <c r="AC96" s="41"/>
      <c r="AD96" s="13"/>
      <c r="AE96" s="13"/>
    </row>
    <row r="97" spans="2:31" x14ac:dyDescent="0.3">
      <c r="B97" s="41">
        <f t="shared" si="12"/>
        <v>30000</v>
      </c>
      <c r="C97" s="1">
        <f>Table1[[#This Row],[taxable wages]]</f>
        <v>30000</v>
      </c>
      <c r="D97" s="1">
        <f>Table1[[#This Row],[taxable wages]]+interest+dividends+short_term_capital_gains+long_term_capital_gains</f>
        <v>30000</v>
      </c>
      <c r="E97" s="1">
        <f>MAX(Table1[[#This Row],[earned income for EITC]:[Agi For Eitc Calc]])</f>
        <v>30000</v>
      </c>
      <c r="F97" s="1">
        <f>Table1[[#This Row],[taxable wages]]+interest+dividends+short_term_capital_gains+long_term_capital_gains-(trad_ira_contributions+MIN(student_loan_interest_cap,student_loan_interest))</f>
        <v>30000</v>
      </c>
      <c r="G97" s="1">
        <f t="shared" si="8"/>
        <v>12600</v>
      </c>
      <c r="H97" s="1">
        <f t="shared" si="9"/>
        <v>28350</v>
      </c>
      <c r="I97" s="1">
        <f>MAX(0,Table1[[#This Row],[Agi]]-Table1[[#This Row],[Exemptions]]-Table1[[#This Row],[Effective Deductions]])</f>
        <v>0</v>
      </c>
      <c r="J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7" s="1">
        <f t="shared" si="10"/>
        <v>5000</v>
      </c>
      <c r="L97" s="1">
        <f>IF(Table1[[#This Row],[Agi]]&gt;ctc_phase_out_begins,ctc_phase_out_rate*(Table1[[#This Row],[Agi]]-ctc_phase_out_begins),0)</f>
        <v>0</v>
      </c>
      <c r="M97" s="1">
        <f>MAX(Table1[[#This Row],[Child Tax Credit]]-Table1[[#This Row],[Child Tax Credit Phase Out]],0)</f>
        <v>5000</v>
      </c>
      <c r="N97" s="1">
        <f>MAX(Table1[[#This Row],[Regular Taxes Owed]]-Table1[[#This Row],[Effective Child Tax Credit]],0)</f>
        <v>0</v>
      </c>
      <c r="O97" s="1">
        <f>MAX(MIN((Table1[[#This Row],[taxable wages]]-3000)*0.15,1000*num_kids_16_younger),0)</f>
        <v>4050</v>
      </c>
      <c r="P97" s="9">
        <f>IF(Table1[[#This Row],[Effective Child Tax Credit]]&gt;Table1[[#This Row],[Regular Taxes Owed]],Table1[[#This Row],[Additional Child Tax Credit ]]-Table1[[#This Row],[Regular Taxes Owed]],0)</f>
        <v>4050</v>
      </c>
      <c r="Q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4950.6588545481172</v>
      </c>
      <c r="R97" s="1">
        <f>Table1[[#This Row],[Effective Additional Child Tax Credit]]+Table1[[#This Row],[Eitc]]</f>
        <v>9000.6588545481172</v>
      </c>
      <c r="S97" s="9">
        <f>Table1[[#This Row],[Regular Taxes Owed - Effective Child Tax Credit]]-Table1[[#This Row],[Total Credits]]</f>
        <v>-9000.6588545481172</v>
      </c>
      <c r="T97" s="9">
        <f>Table1[[#This Row],[taxable wages]]+interest+dividends+short_term_capital_gains+long_term_capital_gains-(charitable_donations+mortgage_interest)</f>
        <v>30000</v>
      </c>
      <c r="U97" s="9">
        <f>MAX(amt_exemption-amt_exemption_phase_out_rate*MAX(Table1[[#This Row],[taxable wages]]-amt_phase_out_begins,0),0)</f>
        <v>83800</v>
      </c>
      <c r="V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7" s="1">
        <f>IF(AND(Table1[[#This Row],[AMT Taxes]]&gt;Table1[[#This Row],[Regular Taxes Owed]],Table1[[#This Row],[AMT Taxes]]&gt;0),Table1[[#This Row],[AMT Taxes]]-Table1[[#This Row],[Regular Taxes Owed]],0)</f>
        <v>0</v>
      </c>
      <c r="X97" s="9">
        <f>Table1[[#This Row],[Extra Taxes From Amt]]+Table1[[#This Row],[Federal Taxes Owed (No AMT)]]</f>
        <v>-9000.6588545481172</v>
      </c>
      <c r="Y97" s="9">
        <f>IF(Table1[[#This Row],[taxable wages]]&gt;obamacare_surcharge_amount,obamacare_surcharge_percent*(Table1[[#This Row],[taxable wages]]-obamacare_surcharge_amount),0)</f>
        <v>0</v>
      </c>
      <c r="Z97" s="9">
        <f>Table1[[#This Row],[Federal Taxes Owed (Includes AMT)]]+Table1[[#This Row],[Obamacare surcharge premium]]</f>
        <v>-9000.6588545481172</v>
      </c>
      <c r="AA97" s="9">
        <f>Table1[[#This Row],[taxable wages]]-Table1[[#This Row],[Federal Taxes Owed2]]</f>
        <v>39000.658854548121</v>
      </c>
      <c r="AB97" s="51">
        <f t="shared" si="11"/>
        <v>6.0597627068993458E-2</v>
      </c>
      <c r="AC97" s="41"/>
      <c r="AD97" s="13"/>
      <c r="AE97" s="13"/>
    </row>
    <row r="98" spans="2:31" x14ac:dyDescent="0.3">
      <c r="B98" s="41">
        <f t="shared" si="12"/>
        <v>30500</v>
      </c>
      <c r="C98" s="1">
        <f>Table1[[#This Row],[taxable wages]]</f>
        <v>30500</v>
      </c>
      <c r="D98" s="1">
        <f>Table1[[#This Row],[taxable wages]]+interest+dividends+short_term_capital_gains+long_term_capital_gains</f>
        <v>30500</v>
      </c>
      <c r="E98" s="1">
        <f>MAX(Table1[[#This Row],[earned income for EITC]:[Agi For Eitc Calc]])</f>
        <v>30500</v>
      </c>
      <c r="F98" s="1">
        <f>Table1[[#This Row],[taxable wages]]+interest+dividends+short_term_capital_gains+long_term_capital_gains-(trad_ira_contributions+MIN(student_loan_interest_cap,student_loan_interest))</f>
        <v>30500</v>
      </c>
      <c r="G98" s="1">
        <f t="shared" si="8"/>
        <v>12600</v>
      </c>
      <c r="H98" s="1">
        <f t="shared" si="9"/>
        <v>28350</v>
      </c>
      <c r="I98" s="1">
        <f>MAX(0,Table1[[#This Row],[Agi]]-Table1[[#This Row],[Exemptions]]-Table1[[#This Row],[Effective Deductions]])</f>
        <v>0</v>
      </c>
      <c r="J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8" s="1">
        <f t="shared" si="10"/>
        <v>5000</v>
      </c>
      <c r="L98" s="1">
        <f>IF(Table1[[#This Row],[Agi]]&gt;ctc_phase_out_begins,ctc_phase_out_rate*(Table1[[#This Row],[Agi]]-ctc_phase_out_begins),0)</f>
        <v>0</v>
      </c>
      <c r="M98" s="1">
        <f>MAX(Table1[[#This Row],[Child Tax Credit]]-Table1[[#This Row],[Child Tax Credit Phase Out]],0)</f>
        <v>5000</v>
      </c>
      <c r="N98" s="1">
        <f>MAX(Table1[[#This Row],[Regular Taxes Owed]]-Table1[[#This Row],[Effective Child Tax Credit]],0)</f>
        <v>0</v>
      </c>
      <c r="O98" s="1">
        <f>MAX(MIN((Table1[[#This Row],[taxable wages]]-3000)*0.15,1000*num_kids_16_younger),0)</f>
        <v>4125</v>
      </c>
      <c r="P98" s="9">
        <f>IF(Table1[[#This Row],[Effective Child Tax Credit]]&gt;Table1[[#This Row],[Regular Taxes Owed]],Table1[[#This Row],[Additional Child Tax Credit ]]-Table1[[#This Row],[Regular Taxes Owed]],0)</f>
        <v>4125</v>
      </c>
      <c r="Q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4845.3600410136223</v>
      </c>
      <c r="R98" s="1">
        <f>Table1[[#This Row],[Effective Additional Child Tax Credit]]+Table1[[#This Row],[Eitc]]</f>
        <v>8970.3600410136223</v>
      </c>
      <c r="S98" s="9">
        <f>Table1[[#This Row],[Regular Taxes Owed - Effective Child Tax Credit]]-Table1[[#This Row],[Total Credits]]</f>
        <v>-8970.3600410136223</v>
      </c>
      <c r="T98" s="9">
        <f>Table1[[#This Row],[taxable wages]]+interest+dividends+short_term_capital_gains+long_term_capital_gains-(charitable_donations+mortgage_interest)</f>
        <v>30500</v>
      </c>
      <c r="U98" s="9">
        <f>MAX(amt_exemption-amt_exemption_phase_out_rate*MAX(Table1[[#This Row],[taxable wages]]-amt_phase_out_begins,0),0)</f>
        <v>83800</v>
      </c>
      <c r="V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8" s="1">
        <f>IF(AND(Table1[[#This Row],[AMT Taxes]]&gt;Table1[[#This Row],[Regular Taxes Owed]],Table1[[#This Row],[AMT Taxes]]&gt;0),Table1[[#This Row],[AMT Taxes]]-Table1[[#This Row],[Regular Taxes Owed]],0)</f>
        <v>0</v>
      </c>
      <c r="X98" s="9">
        <f>Table1[[#This Row],[Extra Taxes From Amt]]+Table1[[#This Row],[Federal Taxes Owed (No AMT)]]</f>
        <v>-8970.3600410136223</v>
      </c>
      <c r="Y98" s="9">
        <f>IF(Table1[[#This Row],[taxable wages]]&gt;obamacare_surcharge_amount,obamacare_surcharge_percent*(Table1[[#This Row],[taxable wages]]-obamacare_surcharge_amount),0)</f>
        <v>0</v>
      </c>
      <c r="Z98" s="9">
        <f>Table1[[#This Row],[Federal Taxes Owed (Includes AMT)]]+Table1[[#This Row],[Obamacare surcharge premium]]</f>
        <v>-8970.3600410136223</v>
      </c>
      <c r="AA98" s="9">
        <f>Table1[[#This Row],[taxable wages]]-Table1[[#This Row],[Federal Taxes Owed2]]</f>
        <v>39470.360041013621</v>
      </c>
      <c r="AB98" s="51">
        <f t="shared" si="11"/>
        <v>6.0597627068989822E-2</v>
      </c>
      <c r="AC98" s="41"/>
      <c r="AD98" s="13"/>
      <c r="AE98" s="13"/>
    </row>
    <row r="99" spans="2:31" x14ac:dyDescent="0.3">
      <c r="B99" s="41">
        <f t="shared" si="12"/>
        <v>31000</v>
      </c>
      <c r="C99" s="1">
        <f>Table1[[#This Row],[taxable wages]]</f>
        <v>31000</v>
      </c>
      <c r="D99" s="1">
        <f>Table1[[#This Row],[taxable wages]]+interest+dividends+short_term_capital_gains+long_term_capital_gains</f>
        <v>31000</v>
      </c>
      <c r="E99" s="1">
        <f>MAX(Table1[[#This Row],[earned income for EITC]:[Agi For Eitc Calc]])</f>
        <v>31000</v>
      </c>
      <c r="F99" s="1">
        <f>Table1[[#This Row],[taxable wages]]+interest+dividends+short_term_capital_gains+long_term_capital_gains-(trad_ira_contributions+MIN(student_loan_interest_cap,student_loan_interest))</f>
        <v>31000</v>
      </c>
      <c r="G99" s="1">
        <f t="shared" si="8"/>
        <v>12600</v>
      </c>
      <c r="H99" s="1">
        <f t="shared" si="9"/>
        <v>28350</v>
      </c>
      <c r="I99" s="1">
        <f>MAX(0,Table1[[#This Row],[Agi]]-Table1[[#This Row],[Exemptions]]-Table1[[#This Row],[Effective Deductions]])</f>
        <v>0</v>
      </c>
      <c r="J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99" s="1">
        <f t="shared" si="10"/>
        <v>5000</v>
      </c>
      <c r="L99" s="1">
        <f>IF(Table1[[#This Row],[Agi]]&gt;ctc_phase_out_begins,ctc_phase_out_rate*(Table1[[#This Row],[Agi]]-ctc_phase_out_begins),0)</f>
        <v>0</v>
      </c>
      <c r="M99" s="1">
        <f>MAX(Table1[[#This Row],[Child Tax Credit]]-Table1[[#This Row],[Child Tax Credit Phase Out]],0)</f>
        <v>5000</v>
      </c>
      <c r="N99" s="1">
        <f>MAX(Table1[[#This Row],[Regular Taxes Owed]]-Table1[[#This Row],[Effective Child Tax Credit]],0)</f>
        <v>0</v>
      </c>
      <c r="O99" s="1">
        <f>MAX(MIN((Table1[[#This Row],[taxable wages]]-3000)*0.15,1000*num_kids_16_younger),0)</f>
        <v>4200</v>
      </c>
      <c r="P99" s="9">
        <f>IF(Table1[[#This Row],[Effective Child Tax Credit]]&gt;Table1[[#This Row],[Regular Taxes Owed]],Table1[[#This Row],[Additional Child Tax Credit ]]-Table1[[#This Row],[Regular Taxes Owed]],0)</f>
        <v>4200</v>
      </c>
      <c r="Q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4740.0612274791265</v>
      </c>
      <c r="R99" s="1">
        <f>Table1[[#This Row],[Effective Additional Child Tax Credit]]+Table1[[#This Row],[Eitc]]</f>
        <v>8940.0612274791274</v>
      </c>
      <c r="S99" s="9">
        <f>Table1[[#This Row],[Regular Taxes Owed - Effective Child Tax Credit]]-Table1[[#This Row],[Total Credits]]</f>
        <v>-8940.0612274791274</v>
      </c>
      <c r="T99" s="9">
        <f>Table1[[#This Row],[taxable wages]]+interest+dividends+short_term_capital_gains+long_term_capital_gains-(charitable_donations+mortgage_interest)</f>
        <v>31000</v>
      </c>
      <c r="U99" s="9">
        <f>MAX(amt_exemption-amt_exemption_phase_out_rate*MAX(Table1[[#This Row],[taxable wages]]-amt_phase_out_begins,0),0)</f>
        <v>83800</v>
      </c>
      <c r="V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99" s="1">
        <f>IF(AND(Table1[[#This Row],[AMT Taxes]]&gt;Table1[[#This Row],[Regular Taxes Owed]],Table1[[#This Row],[AMT Taxes]]&gt;0),Table1[[#This Row],[AMT Taxes]]-Table1[[#This Row],[Regular Taxes Owed]],0)</f>
        <v>0</v>
      </c>
      <c r="X99" s="9">
        <f>Table1[[#This Row],[Extra Taxes From Amt]]+Table1[[#This Row],[Federal Taxes Owed (No AMT)]]</f>
        <v>-8940.0612274791274</v>
      </c>
      <c r="Y99" s="9">
        <f>IF(Table1[[#This Row],[taxable wages]]&gt;obamacare_surcharge_amount,obamacare_surcharge_percent*(Table1[[#This Row],[taxable wages]]-obamacare_surcharge_amount),0)</f>
        <v>0</v>
      </c>
      <c r="Z99" s="9">
        <f>Table1[[#This Row],[Federal Taxes Owed (Includes AMT)]]+Table1[[#This Row],[Obamacare surcharge premium]]</f>
        <v>-8940.0612274791274</v>
      </c>
      <c r="AA99" s="9">
        <f>Table1[[#This Row],[taxable wages]]-Table1[[#This Row],[Federal Taxes Owed2]]</f>
        <v>39940.061227479127</v>
      </c>
      <c r="AB99" s="51">
        <f t="shared" si="11"/>
        <v>6.0597627068989822E-2</v>
      </c>
      <c r="AC99" s="41"/>
      <c r="AD99" s="13"/>
      <c r="AE99" s="13"/>
    </row>
    <row r="100" spans="2:31" x14ac:dyDescent="0.3">
      <c r="B100" s="41">
        <f t="shared" si="12"/>
        <v>31500</v>
      </c>
      <c r="C100" s="1">
        <f>Table1[[#This Row],[taxable wages]]</f>
        <v>31500</v>
      </c>
      <c r="D100" s="1">
        <f>Table1[[#This Row],[taxable wages]]+interest+dividends+short_term_capital_gains+long_term_capital_gains</f>
        <v>31500</v>
      </c>
      <c r="E100" s="1">
        <f>MAX(Table1[[#This Row],[earned income for EITC]:[Agi For Eitc Calc]])</f>
        <v>31500</v>
      </c>
      <c r="F100" s="1">
        <f>Table1[[#This Row],[taxable wages]]+interest+dividends+short_term_capital_gains+long_term_capital_gains-(trad_ira_contributions+MIN(student_loan_interest_cap,student_loan_interest))</f>
        <v>31500</v>
      </c>
      <c r="G100" s="1">
        <f t="shared" si="8"/>
        <v>12600</v>
      </c>
      <c r="H100" s="1">
        <f t="shared" si="9"/>
        <v>28350</v>
      </c>
      <c r="I100" s="1">
        <f>MAX(0,Table1[[#This Row],[Agi]]-Table1[[#This Row],[Exemptions]]-Table1[[#This Row],[Effective Deductions]])</f>
        <v>0</v>
      </c>
      <c r="J1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0" s="1">
        <f t="shared" si="10"/>
        <v>5000</v>
      </c>
      <c r="L100" s="1">
        <f>IF(Table1[[#This Row],[Agi]]&gt;ctc_phase_out_begins,ctc_phase_out_rate*(Table1[[#This Row],[Agi]]-ctc_phase_out_begins),0)</f>
        <v>0</v>
      </c>
      <c r="M100" s="1">
        <f>MAX(Table1[[#This Row],[Child Tax Credit]]-Table1[[#This Row],[Child Tax Credit Phase Out]],0)</f>
        <v>5000</v>
      </c>
      <c r="N100" s="1">
        <f>MAX(Table1[[#This Row],[Regular Taxes Owed]]-Table1[[#This Row],[Effective Child Tax Credit]],0)</f>
        <v>0</v>
      </c>
      <c r="O100" s="1">
        <f>MAX(MIN((Table1[[#This Row],[taxable wages]]-3000)*0.15,1000*num_kids_16_younger),0)</f>
        <v>4275</v>
      </c>
      <c r="P100" s="9">
        <f>IF(Table1[[#This Row],[Effective Child Tax Credit]]&gt;Table1[[#This Row],[Regular Taxes Owed]],Table1[[#This Row],[Additional Child Tax Credit ]]-Table1[[#This Row],[Regular Taxes Owed]],0)</f>
        <v>4275</v>
      </c>
      <c r="Q1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4634.7624139446316</v>
      </c>
      <c r="R100" s="1">
        <f>Table1[[#This Row],[Effective Additional Child Tax Credit]]+Table1[[#This Row],[Eitc]]</f>
        <v>8909.7624139446307</v>
      </c>
      <c r="S100" s="9">
        <f>Table1[[#This Row],[Regular Taxes Owed - Effective Child Tax Credit]]-Table1[[#This Row],[Total Credits]]</f>
        <v>-8909.7624139446307</v>
      </c>
      <c r="T100" s="9">
        <f>Table1[[#This Row],[taxable wages]]+interest+dividends+short_term_capital_gains+long_term_capital_gains-(charitable_donations+mortgage_interest)</f>
        <v>31500</v>
      </c>
      <c r="U100" s="9">
        <f>MAX(amt_exemption-amt_exemption_phase_out_rate*MAX(Table1[[#This Row],[taxable wages]]-amt_phase_out_begins,0),0)</f>
        <v>83800</v>
      </c>
      <c r="V1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0" s="1">
        <f>IF(AND(Table1[[#This Row],[AMT Taxes]]&gt;Table1[[#This Row],[Regular Taxes Owed]],Table1[[#This Row],[AMT Taxes]]&gt;0),Table1[[#This Row],[AMT Taxes]]-Table1[[#This Row],[Regular Taxes Owed]],0)</f>
        <v>0</v>
      </c>
      <c r="X100" s="9">
        <f>Table1[[#This Row],[Extra Taxes From Amt]]+Table1[[#This Row],[Federal Taxes Owed (No AMT)]]</f>
        <v>-8909.7624139446307</v>
      </c>
      <c r="Y100" s="9">
        <f>IF(Table1[[#This Row],[taxable wages]]&gt;obamacare_surcharge_amount,obamacare_surcharge_percent*(Table1[[#This Row],[taxable wages]]-obamacare_surcharge_amount),0)</f>
        <v>0</v>
      </c>
      <c r="Z100" s="9">
        <f>Table1[[#This Row],[Federal Taxes Owed (Includes AMT)]]+Table1[[#This Row],[Obamacare surcharge premium]]</f>
        <v>-8909.7624139446307</v>
      </c>
      <c r="AA100" s="9">
        <f>Table1[[#This Row],[taxable wages]]-Table1[[#This Row],[Federal Taxes Owed2]]</f>
        <v>40409.762413944627</v>
      </c>
      <c r="AB100" s="51">
        <f t="shared" si="11"/>
        <v>6.0597627068993458E-2</v>
      </c>
      <c r="AC100" s="41"/>
      <c r="AD100" s="13"/>
      <c r="AE100" s="13"/>
    </row>
    <row r="101" spans="2:31" x14ac:dyDescent="0.3">
      <c r="B101" s="41">
        <f t="shared" si="12"/>
        <v>32000</v>
      </c>
      <c r="C101" s="1">
        <f>Table1[[#This Row],[taxable wages]]</f>
        <v>32000</v>
      </c>
      <c r="D101" s="1">
        <f>Table1[[#This Row],[taxable wages]]+interest+dividends+short_term_capital_gains+long_term_capital_gains</f>
        <v>32000</v>
      </c>
      <c r="E101" s="1">
        <f>MAX(Table1[[#This Row],[earned income for EITC]:[Agi For Eitc Calc]])</f>
        <v>32000</v>
      </c>
      <c r="F101" s="1">
        <f>Table1[[#This Row],[taxable wages]]+interest+dividends+short_term_capital_gains+long_term_capital_gains-(trad_ira_contributions+MIN(student_loan_interest_cap,student_loan_interest))</f>
        <v>32000</v>
      </c>
      <c r="G101" s="1">
        <f t="shared" si="8"/>
        <v>12600</v>
      </c>
      <c r="H101" s="1">
        <f t="shared" si="9"/>
        <v>28350</v>
      </c>
      <c r="I101" s="1">
        <f>MAX(0,Table1[[#This Row],[Agi]]-Table1[[#This Row],[Exemptions]]-Table1[[#This Row],[Effective Deductions]])</f>
        <v>0</v>
      </c>
      <c r="J1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1" s="1">
        <f t="shared" si="10"/>
        <v>5000</v>
      </c>
      <c r="L101" s="1">
        <f>IF(Table1[[#This Row],[Agi]]&gt;ctc_phase_out_begins,ctc_phase_out_rate*(Table1[[#This Row],[Agi]]-ctc_phase_out_begins),0)</f>
        <v>0</v>
      </c>
      <c r="M101" s="1">
        <f>MAX(Table1[[#This Row],[Child Tax Credit]]-Table1[[#This Row],[Child Tax Credit Phase Out]],0)</f>
        <v>5000</v>
      </c>
      <c r="N101" s="1">
        <f>MAX(Table1[[#This Row],[Regular Taxes Owed]]-Table1[[#This Row],[Effective Child Tax Credit]],0)</f>
        <v>0</v>
      </c>
      <c r="O101" s="1">
        <f>MAX(MIN((Table1[[#This Row],[taxable wages]]-3000)*0.15,1000*num_kids_16_younger),0)</f>
        <v>4350</v>
      </c>
      <c r="P101" s="9">
        <f>IF(Table1[[#This Row],[Effective Child Tax Credit]]&gt;Table1[[#This Row],[Regular Taxes Owed]],Table1[[#This Row],[Additional Child Tax Credit ]]-Table1[[#This Row],[Regular Taxes Owed]],0)</f>
        <v>4350</v>
      </c>
      <c r="Q1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4529.4636004101358</v>
      </c>
      <c r="R101" s="1">
        <f>Table1[[#This Row],[Effective Additional Child Tax Credit]]+Table1[[#This Row],[Eitc]]</f>
        <v>8879.4636004101358</v>
      </c>
      <c r="S101" s="9">
        <f>Table1[[#This Row],[Regular Taxes Owed - Effective Child Tax Credit]]-Table1[[#This Row],[Total Credits]]</f>
        <v>-8879.4636004101358</v>
      </c>
      <c r="T101" s="9">
        <f>Table1[[#This Row],[taxable wages]]+interest+dividends+short_term_capital_gains+long_term_capital_gains-(charitable_donations+mortgage_interest)</f>
        <v>32000</v>
      </c>
      <c r="U101" s="9">
        <f>MAX(amt_exemption-amt_exemption_phase_out_rate*MAX(Table1[[#This Row],[taxable wages]]-amt_phase_out_begins,0),0)</f>
        <v>83800</v>
      </c>
      <c r="V1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1" s="1">
        <f>IF(AND(Table1[[#This Row],[AMT Taxes]]&gt;Table1[[#This Row],[Regular Taxes Owed]],Table1[[#This Row],[AMT Taxes]]&gt;0),Table1[[#This Row],[AMT Taxes]]-Table1[[#This Row],[Regular Taxes Owed]],0)</f>
        <v>0</v>
      </c>
      <c r="X101" s="9">
        <f>Table1[[#This Row],[Extra Taxes From Amt]]+Table1[[#This Row],[Federal Taxes Owed (No AMT)]]</f>
        <v>-8879.4636004101358</v>
      </c>
      <c r="Y101" s="9">
        <f>IF(Table1[[#This Row],[taxable wages]]&gt;obamacare_surcharge_amount,obamacare_surcharge_percent*(Table1[[#This Row],[taxable wages]]-obamacare_surcharge_amount),0)</f>
        <v>0</v>
      </c>
      <c r="Z101" s="9">
        <f>Table1[[#This Row],[Federal Taxes Owed (Includes AMT)]]+Table1[[#This Row],[Obamacare surcharge premium]]</f>
        <v>-8879.4636004101358</v>
      </c>
      <c r="AA101" s="9">
        <f>Table1[[#This Row],[taxable wages]]-Table1[[#This Row],[Federal Taxes Owed2]]</f>
        <v>40879.463600410134</v>
      </c>
      <c r="AB101" s="51">
        <f t="shared" si="11"/>
        <v>6.0597627068989822E-2</v>
      </c>
      <c r="AC101" s="41"/>
      <c r="AD101" s="13"/>
      <c r="AE101" s="13"/>
    </row>
    <row r="102" spans="2:31" x14ac:dyDescent="0.3">
      <c r="B102" s="41">
        <f t="shared" si="12"/>
        <v>32500</v>
      </c>
      <c r="C102" s="1">
        <f>Table1[[#This Row],[taxable wages]]</f>
        <v>32500</v>
      </c>
      <c r="D102" s="1">
        <f>Table1[[#This Row],[taxable wages]]+interest+dividends+short_term_capital_gains+long_term_capital_gains</f>
        <v>32500</v>
      </c>
      <c r="E102" s="1">
        <f>MAX(Table1[[#This Row],[earned income for EITC]:[Agi For Eitc Calc]])</f>
        <v>32500</v>
      </c>
      <c r="F102" s="1">
        <f>Table1[[#This Row],[taxable wages]]+interest+dividends+short_term_capital_gains+long_term_capital_gains-(trad_ira_contributions+MIN(student_loan_interest_cap,student_loan_interest))</f>
        <v>32500</v>
      </c>
      <c r="G102" s="1">
        <f t="shared" ref="G102:G165" si="13">MAX(standard_deduction,mortgage_interest+real_estate_property_taxes+state_income_tax_paid+charitable_donations+medical_expenses)</f>
        <v>12600</v>
      </c>
      <c r="H102" s="1">
        <f t="shared" ref="H102:H165" si="14">num_people_in_family*personal_exemption</f>
        <v>28350</v>
      </c>
      <c r="I102" s="1">
        <f>MAX(0,Table1[[#This Row],[Agi]]-Table1[[#This Row],[Exemptions]]-Table1[[#This Row],[Effective Deductions]])</f>
        <v>0</v>
      </c>
      <c r="J1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2" s="1">
        <f t="shared" ref="K102:K165" si="15">child_tax_credit*num_kids_16_younger</f>
        <v>5000</v>
      </c>
      <c r="L102" s="1">
        <f>IF(Table1[[#This Row],[Agi]]&gt;ctc_phase_out_begins,ctc_phase_out_rate*(Table1[[#This Row],[Agi]]-ctc_phase_out_begins),0)</f>
        <v>0</v>
      </c>
      <c r="M102" s="1">
        <f>MAX(Table1[[#This Row],[Child Tax Credit]]-Table1[[#This Row],[Child Tax Credit Phase Out]],0)</f>
        <v>5000</v>
      </c>
      <c r="N102" s="1">
        <f>MAX(Table1[[#This Row],[Regular Taxes Owed]]-Table1[[#This Row],[Effective Child Tax Credit]],0)</f>
        <v>0</v>
      </c>
      <c r="O102" s="1">
        <f>MAX(MIN((Table1[[#This Row],[taxable wages]]-3000)*0.15,1000*num_kids_16_younger),0)</f>
        <v>4425</v>
      </c>
      <c r="P102" s="9">
        <f>IF(Table1[[#This Row],[Effective Child Tax Credit]]&gt;Table1[[#This Row],[Regular Taxes Owed]],Table1[[#This Row],[Additional Child Tax Credit ]]-Table1[[#This Row],[Regular Taxes Owed]],0)</f>
        <v>4425</v>
      </c>
      <c r="Q1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4424.1647868756409</v>
      </c>
      <c r="R102" s="1">
        <f>Table1[[#This Row],[Effective Additional Child Tax Credit]]+Table1[[#This Row],[Eitc]]</f>
        <v>8849.1647868756409</v>
      </c>
      <c r="S102" s="9">
        <f>Table1[[#This Row],[Regular Taxes Owed - Effective Child Tax Credit]]-Table1[[#This Row],[Total Credits]]</f>
        <v>-8849.1647868756409</v>
      </c>
      <c r="T102" s="9">
        <f>Table1[[#This Row],[taxable wages]]+interest+dividends+short_term_capital_gains+long_term_capital_gains-(charitable_donations+mortgage_interest)</f>
        <v>32500</v>
      </c>
      <c r="U102" s="9">
        <f>MAX(amt_exemption-amt_exemption_phase_out_rate*MAX(Table1[[#This Row],[taxable wages]]-amt_phase_out_begins,0),0)</f>
        <v>83800</v>
      </c>
      <c r="V1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2" s="1">
        <f>IF(AND(Table1[[#This Row],[AMT Taxes]]&gt;Table1[[#This Row],[Regular Taxes Owed]],Table1[[#This Row],[AMT Taxes]]&gt;0),Table1[[#This Row],[AMT Taxes]]-Table1[[#This Row],[Regular Taxes Owed]],0)</f>
        <v>0</v>
      </c>
      <c r="X102" s="9">
        <f>Table1[[#This Row],[Extra Taxes From Amt]]+Table1[[#This Row],[Federal Taxes Owed (No AMT)]]</f>
        <v>-8849.1647868756409</v>
      </c>
      <c r="Y102" s="9">
        <f>IF(Table1[[#This Row],[taxable wages]]&gt;obamacare_surcharge_amount,obamacare_surcharge_percent*(Table1[[#This Row],[taxable wages]]-obamacare_surcharge_amount),0)</f>
        <v>0</v>
      </c>
      <c r="Z102" s="9">
        <f>Table1[[#This Row],[Federal Taxes Owed (Includes AMT)]]+Table1[[#This Row],[Obamacare surcharge premium]]</f>
        <v>-8849.1647868756409</v>
      </c>
      <c r="AA102" s="9">
        <f>Table1[[#This Row],[taxable wages]]-Table1[[#This Row],[Federal Taxes Owed2]]</f>
        <v>41349.164786875641</v>
      </c>
      <c r="AB102" s="51">
        <f t="shared" si="11"/>
        <v>6.0597627068989822E-2</v>
      </c>
      <c r="AC102" s="41"/>
      <c r="AD102" s="13"/>
      <c r="AE102" s="13"/>
    </row>
    <row r="103" spans="2:31" x14ac:dyDescent="0.3">
      <c r="B103" s="41">
        <f t="shared" si="12"/>
        <v>33000</v>
      </c>
      <c r="C103" s="1">
        <f>Table1[[#This Row],[taxable wages]]</f>
        <v>33000</v>
      </c>
      <c r="D103" s="1">
        <f>Table1[[#This Row],[taxable wages]]+interest+dividends+short_term_capital_gains+long_term_capital_gains</f>
        <v>33000</v>
      </c>
      <c r="E103" s="1">
        <f>MAX(Table1[[#This Row],[earned income for EITC]:[Agi For Eitc Calc]])</f>
        <v>33000</v>
      </c>
      <c r="F103" s="1">
        <f>Table1[[#This Row],[taxable wages]]+interest+dividends+short_term_capital_gains+long_term_capital_gains-(trad_ira_contributions+MIN(student_loan_interest_cap,student_loan_interest))</f>
        <v>33000</v>
      </c>
      <c r="G103" s="1">
        <f t="shared" si="13"/>
        <v>12600</v>
      </c>
      <c r="H103" s="1">
        <f t="shared" si="14"/>
        <v>28350</v>
      </c>
      <c r="I103" s="1">
        <f>MAX(0,Table1[[#This Row],[Agi]]-Table1[[#This Row],[Exemptions]]-Table1[[#This Row],[Effective Deductions]])</f>
        <v>0</v>
      </c>
      <c r="J1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3" s="1">
        <f t="shared" si="15"/>
        <v>5000</v>
      </c>
      <c r="L103" s="1">
        <f>IF(Table1[[#This Row],[Agi]]&gt;ctc_phase_out_begins,ctc_phase_out_rate*(Table1[[#This Row],[Agi]]-ctc_phase_out_begins),0)</f>
        <v>0</v>
      </c>
      <c r="M103" s="1">
        <f>MAX(Table1[[#This Row],[Child Tax Credit]]-Table1[[#This Row],[Child Tax Credit Phase Out]],0)</f>
        <v>5000</v>
      </c>
      <c r="N103" s="1">
        <f>MAX(Table1[[#This Row],[Regular Taxes Owed]]-Table1[[#This Row],[Effective Child Tax Credit]],0)</f>
        <v>0</v>
      </c>
      <c r="O103" s="1">
        <f>MAX(MIN((Table1[[#This Row],[taxable wages]]-3000)*0.15,1000*num_kids_16_younger),0)</f>
        <v>4500</v>
      </c>
      <c r="P103" s="9">
        <f>IF(Table1[[#This Row],[Effective Child Tax Credit]]&gt;Table1[[#This Row],[Regular Taxes Owed]],Table1[[#This Row],[Additional Child Tax Credit ]]-Table1[[#This Row],[Regular Taxes Owed]],0)</f>
        <v>4500</v>
      </c>
      <c r="Q1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4318.865973341145</v>
      </c>
      <c r="R103" s="1">
        <f>Table1[[#This Row],[Effective Additional Child Tax Credit]]+Table1[[#This Row],[Eitc]]</f>
        <v>8818.8659733411441</v>
      </c>
      <c r="S103" s="9">
        <f>Table1[[#This Row],[Regular Taxes Owed - Effective Child Tax Credit]]-Table1[[#This Row],[Total Credits]]</f>
        <v>-8818.8659733411441</v>
      </c>
      <c r="T103" s="9">
        <f>Table1[[#This Row],[taxable wages]]+interest+dividends+short_term_capital_gains+long_term_capital_gains-(charitable_donations+mortgage_interest)</f>
        <v>33000</v>
      </c>
      <c r="U103" s="9">
        <f>MAX(amt_exemption-amt_exemption_phase_out_rate*MAX(Table1[[#This Row],[taxable wages]]-amt_phase_out_begins,0),0)</f>
        <v>83800</v>
      </c>
      <c r="V1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3" s="1">
        <f>IF(AND(Table1[[#This Row],[AMT Taxes]]&gt;Table1[[#This Row],[Regular Taxes Owed]],Table1[[#This Row],[AMT Taxes]]&gt;0),Table1[[#This Row],[AMT Taxes]]-Table1[[#This Row],[Regular Taxes Owed]],0)</f>
        <v>0</v>
      </c>
      <c r="X103" s="9">
        <f>Table1[[#This Row],[Extra Taxes From Amt]]+Table1[[#This Row],[Federal Taxes Owed (No AMT)]]</f>
        <v>-8818.8659733411441</v>
      </c>
      <c r="Y103" s="9">
        <f>IF(Table1[[#This Row],[taxable wages]]&gt;obamacare_surcharge_amount,obamacare_surcharge_percent*(Table1[[#This Row],[taxable wages]]-obamacare_surcharge_amount),0)</f>
        <v>0</v>
      </c>
      <c r="Z103" s="9">
        <f>Table1[[#This Row],[Federal Taxes Owed (Includes AMT)]]+Table1[[#This Row],[Obamacare surcharge premium]]</f>
        <v>-8818.8659733411441</v>
      </c>
      <c r="AA103" s="9">
        <f>Table1[[#This Row],[taxable wages]]-Table1[[#This Row],[Federal Taxes Owed2]]</f>
        <v>41818.865973341148</v>
      </c>
      <c r="AB103" s="51">
        <f t="shared" ref="AB103:AB166" si="16">(Z103-Z102)/(B103-B102)</f>
        <v>6.0597627068993458E-2</v>
      </c>
      <c r="AC103" s="41"/>
      <c r="AD103" s="13"/>
      <c r="AE103" s="13"/>
    </row>
    <row r="104" spans="2:31" x14ac:dyDescent="0.3">
      <c r="B104" s="41">
        <f t="shared" ref="B104:B167" si="17">B103+500</f>
        <v>33500</v>
      </c>
      <c r="C104" s="1">
        <f>Table1[[#This Row],[taxable wages]]</f>
        <v>33500</v>
      </c>
      <c r="D104" s="1">
        <f>Table1[[#This Row],[taxable wages]]+interest+dividends+short_term_capital_gains+long_term_capital_gains</f>
        <v>33500</v>
      </c>
      <c r="E104" s="1">
        <f>MAX(Table1[[#This Row],[earned income for EITC]:[Agi For Eitc Calc]])</f>
        <v>33500</v>
      </c>
      <c r="F104" s="1">
        <f>Table1[[#This Row],[taxable wages]]+interest+dividends+short_term_capital_gains+long_term_capital_gains-(trad_ira_contributions+MIN(student_loan_interest_cap,student_loan_interest))</f>
        <v>33500</v>
      </c>
      <c r="G104" s="1">
        <f t="shared" si="13"/>
        <v>12600</v>
      </c>
      <c r="H104" s="1">
        <f t="shared" si="14"/>
        <v>28350</v>
      </c>
      <c r="I104" s="1">
        <f>MAX(0,Table1[[#This Row],[Agi]]-Table1[[#This Row],[Exemptions]]-Table1[[#This Row],[Effective Deductions]])</f>
        <v>0</v>
      </c>
      <c r="J1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4" s="1">
        <f t="shared" si="15"/>
        <v>5000</v>
      </c>
      <c r="L104" s="1">
        <f>IF(Table1[[#This Row],[Agi]]&gt;ctc_phase_out_begins,ctc_phase_out_rate*(Table1[[#This Row],[Agi]]-ctc_phase_out_begins),0)</f>
        <v>0</v>
      </c>
      <c r="M104" s="1">
        <f>MAX(Table1[[#This Row],[Child Tax Credit]]-Table1[[#This Row],[Child Tax Credit Phase Out]],0)</f>
        <v>5000</v>
      </c>
      <c r="N104" s="1">
        <f>MAX(Table1[[#This Row],[Regular Taxes Owed]]-Table1[[#This Row],[Effective Child Tax Credit]],0)</f>
        <v>0</v>
      </c>
      <c r="O104" s="1">
        <f>MAX(MIN((Table1[[#This Row],[taxable wages]]-3000)*0.15,1000*num_kids_16_younger),0)</f>
        <v>4575</v>
      </c>
      <c r="P104" s="9">
        <f>IF(Table1[[#This Row],[Effective Child Tax Credit]]&gt;Table1[[#This Row],[Regular Taxes Owed]],Table1[[#This Row],[Additional Child Tax Credit ]]-Table1[[#This Row],[Regular Taxes Owed]],0)</f>
        <v>4575</v>
      </c>
      <c r="Q1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4213.5671598066492</v>
      </c>
      <c r="R104" s="1">
        <f>Table1[[#This Row],[Effective Additional Child Tax Credit]]+Table1[[#This Row],[Eitc]]</f>
        <v>8788.5671598066492</v>
      </c>
      <c r="S104" s="9">
        <f>Table1[[#This Row],[Regular Taxes Owed - Effective Child Tax Credit]]-Table1[[#This Row],[Total Credits]]</f>
        <v>-8788.5671598066492</v>
      </c>
      <c r="T104" s="9">
        <f>Table1[[#This Row],[taxable wages]]+interest+dividends+short_term_capital_gains+long_term_capital_gains-(charitable_donations+mortgage_interest)</f>
        <v>33500</v>
      </c>
      <c r="U104" s="9">
        <f>MAX(amt_exemption-amt_exemption_phase_out_rate*MAX(Table1[[#This Row],[taxable wages]]-amt_phase_out_begins,0),0)</f>
        <v>83800</v>
      </c>
      <c r="V1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4" s="1">
        <f>IF(AND(Table1[[#This Row],[AMT Taxes]]&gt;Table1[[#This Row],[Regular Taxes Owed]],Table1[[#This Row],[AMT Taxes]]&gt;0),Table1[[#This Row],[AMT Taxes]]-Table1[[#This Row],[Regular Taxes Owed]],0)</f>
        <v>0</v>
      </c>
      <c r="X104" s="9">
        <f>Table1[[#This Row],[Extra Taxes From Amt]]+Table1[[#This Row],[Federal Taxes Owed (No AMT)]]</f>
        <v>-8788.5671598066492</v>
      </c>
      <c r="Y104" s="9">
        <f>IF(Table1[[#This Row],[taxable wages]]&gt;obamacare_surcharge_amount,obamacare_surcharge_percent*(Table1[[#This Row],[taxable wages]]-obamacare_surcharge_amount),0)</f>
        <v>0</v>
      </c>
      <c r="Z104" s="9">
        <f>Table1[[#This Row],[Federal Taxes Owed (Includes AMT)]]+Table1[[#This Row],[Obamacare surcharge premium]]</f>
        <v>-8788.5671598066492</v>
      </c>
      <c r="AA104" s="9">
        <f>Table1[[#This Row],[taxable wages]]-Table1[[#This Row],[Federal Taxes Owed2]]</f>
        <v>42288.567159806647</v>
      </c>
      <c r="AB104" s="51">
        <f t="shared" si="16"/>
        <v>6.0597627068989822E-2</v>
      </c>
      <c r="AC104" s="41"/>
      <c r="AD104" s="13"/>
      <c r="AE104" s="13"/>
    </row>
    <row r="105" spans="2:31" x14ac:dyDescent="0.3">
      <c r="B105" s="41">
        <f t="shared" si="17"/>
        <v>34000</v>
      </c>
      <c r="C105" s="1">
        <f>Table1[[#This Row],[taxable wages]]</f>
        <v>34000</v>
      </c>
      <c r="D105" s="1">
        <f>Table1[[#This Row],[taxable wages]]+interest+dividends+short_term_capital_gains+long_term_capital_gains</f>
        <v>34000</v>
      </c>
      <c r="E105" s="1">
        <f>MAX(Table1[[#This Row],[earned income for EITC]:[Agi For Eitc Calc]])</f>
        <v>34000</v>
      </c>
      <c r="F105" s="1">
        <f>Table1[[#This Row],[taxable wages]]+interest+dividends+short_term_capital_gains+long_term_capital_gains-(trad_ira_contributions+MIN(student_loan_interest_cap,student_loan_interest))</f>
        <v>34000</v>
      </c>
      <c r="G105" s="1">
        <f t="shared" si="13"/>
        <v>12600</v>
      </c>
      <c r="H105" s="1">
        <f t="shared" si="14"/>
        <v>28350</v>
      </c>
      <c r="I105" s="1">
        <f>MAX(0,Table1[[#This Row],[Agi]]-Table1[[#This Row],[Exemptions]]-Table1[[#This Row],[Effective Deductions]])</f>
        <v>0</v>
      </c>
      <c r="J1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5" s="1">
        <f t="shared" si="15"/>
        <v>5000</v>
      </c>
      <c r="L105" s="1">
        <f>IF(Table1[[#This Row],[Agi]]&gt;ctc_phase_out_begins,ctc_phase_out_rate*(Table1[[#This Row],[Agi]]-ctc_phase_out_begins),0)</f>
        <v>0</v>
      </c>
      <c r="M105" s="1">
        <f>MAX(Table1[[#This Row],[Child Tax Credit]]-Table1[[#This Row],[Child Tax Credit Phase Out]],0)</f>
        <v>5000</v>
      </c>
      <c r="N105" s="1">
        <f>MAX(Table1[[#This Row],[Regular Taxes Owed]]-Table1[[#This Row],[Effective Child Tax Credit]],0)</f>
        <v>0</v>
      </c>
      <c r="O105" s="1">
        <f>MAX(MIN((Table1[[#This Row],[taxable wages]]-3000)*0.15,1000*num_kids_16_younger),0)</f>
        <v>4650</v>
      </c>
      <c r="P105" s="9">
        <f>IF(Table1[[#This Row],[Effective Child Tax Credit]]&gt;Table1[[#This Row],[Regular Taxes Owed]],Table1[[#This Row],[Additional Child Tax Credit ]]-Table1[[#This Row],[Regular Taxes Owed]],0)</f>
        <v>4650</v>
      </c>
      <c r="Q1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4108.2683462721543</v>
      </c>
      <c r="R105" s="1">
        <f>Table1[[#This Row],[Effective Additional Child Tax Credit]]+Table1[[#This Row],[Eitc]]</f>
        <v>8758.2683462721543</v>
      </c>
      <c r="S105" s="9">
        <f>Table1[[#This Row],[Regular Taxes Owed - Effective Child Tax Credit]]-Table1[[#This Row],[Total Credits]]</f>
        <v>-8758.2683462721543</v>
      </c>
      <c r="T105" s="9">
        <f>Table1[[#This Row],[taxable wages]]+interest+dividends+short_term_capital_gains+long_term_capital_gains-(charitable_donations+mortgage_interest)</f>
        <v>34000</v>
      </c>
      <c r="U105" s="9">
        <f>MAX(amt_exemption-amt_exemption_phase_out_rate*MAX(Table1[[#This Row],[taxable wages]]-amt_phase_out_begins,0),0)</f>
        <v>83800</v>
      </c>
      <c r="V1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5" s="1">
        <f>IF(AND(Table1[[#This Row],[AMT Taxes]]&gt;Table1[[#This Row],[Regular Taxes Owed]],Table1[[#This Row],[AMT Taxes]]&gt;0),Table1[[#This Row],[AMT Taxes]]-Table1[[#This Row],[Regular Taxes Owed]],0)</f>
        <v>0</v>
      </c>
      <c r="X105" s="9">
        <f>Table1[[#This Row],[Extra Taxes From Amt]]+Table1[[#This Row],[Federal Taxes Owed (No AMT)]]</f>
        <v>-8758.2683462721543</v>
      </c>
      <c r="Y105" s="9">
        <f>IF(Table1[[#This Row],[taxable wages]]&gt;obamacare_surcharge_amount,obamacare_surcharge_percent*(Table1[[#This Row],[taxable wages]]-obamacare_surcharge_amount),0)</f>
        <v>0</v>
      </c>
      <c r="Z105" s="9">
        <f>Table1[[#This Row],[Federal Taxes Owed (Includes AMT)]]+Table1[[#This Row],[Obamacare surcharge premium]]</f>
        <v>-8758.2683462721543</v>
      </c>
      <c r="AA105" s="9">
        <f>Table1[[#This Row],[taxable wages]]-Table1[[#This Row],[Federal Taxes Owed2]]</f>
        <v>42758.268346272154</v>
      </c>
      <c r="AB105" s="51">
        <f t="shared" si="16"/>
        <v>6.0597627068989822E-2</v>
      </c>
      <c r="AC105" s="41"/>
      <c r="AD105" s="13"/>
      <c r="AE105" s="13"/>
    </row>
    <row r="106" spans="2:31" x14ac:dyDescent="0.3">
      <c r="B106" s="41">
        <f t="shared" si="17"/>
        <v>34500</v>
      </c>
      <c r="C106" s="1">
        <f>Table1[[#This Row],[taxable wages]]</f>
        <v>34500</v>
      </c>
      <c r="D106" s="1">
        <f>Table1[[#This Row],[taxable wages]]+interest+dividends+short_term_capital_gains+long_term_capital_gains</f>
        <v>34500</v>
      </c>
      <c r="E106" s="1">
        <f>MAX(Table1[[#This Row],[earned income for EITC]:[Agi For Eitc Calc]])</f>
        <v>34500</v>
      </c>
      <c r="F106" s="1">
        <f>Table1[[#This Row],[taxable wages]]+interest+dividends+short_term_capital_gains+long_term_capital_gains-(trad_ira_contributions+MIN(student_loan_interest_cap,student_loan_interest))</f>
        <v>34500</v>
      </c>
      <c r="G106" s="1">
        <f t="shared" si="13"/>
        <v>12600</v>
      </c>
      <c r="H106" s="1">
        <f t="shared" si="14"/>
        <v>28350</v>
      </c>
      <c r="I106" s="1">
        <f>MAX(0,Table1[[#This Row],[Agi]]-Table1[[#This Row],[Exemptions]]-Table1[[#This Row],[Effective Deductions]])</f>
        <v>0</v>
      </c>
      <c r="J1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6" s="1">
        <f t="shared" si="15"/>
        <v>5000</v>
      </c>
      <c r="L106" s="1">
        <f>IF(Table1[[#This Row],[Agi]]&gt;ctc_phase_out_begins,ctc_phase_out_rate*(Table1[[#This Row],[Agi]]-ctc_phase_out_begins),0)</f>
        <v>0</v>
      </c>
      <c r="M106" s="1">
        <f>MAX(Table1[[#This Row],[Child Tax Credit]]-Table1[[#This Row],[Child Tax Credit Phase Out]],0)</f>
        <v>5000</v>
      </c>
      <c r="N106" s="1">
        <f>MAX(Table1[[#This Row],[Regular Taxes Owed]]-Table1[[#This Row],[Effective Child Tax Credit]],0)</f>
        <v>0</v>
      </c>
      <c r="O106" s="1">
        <f>MAX(MIN((Table1[[#This Row],[taxable wages]]-3000)*0.15,1000*num_kids_16_younger),0)</f>
        <v>4725</v>
      </c>
      <c r="P106" s="9">
        <f>IF(Table1[[#This Row],[Effective Child Tax Credit]]&gt;Table1[[#This Row],[Regular Taxes Owed]],Table1[[#This Row],[Additional Child Tax Credit ]]-Table1[[#This Row],[Regular Taxes Owed]],0)</f>
        <v>4725</v>
      </c>
      <c r="Q1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4002.9695327376589</v>
      </c>
      <c r="R106" s="1">
        <f>Table1[[#This Row],[Effective Additional Child Tax Credit]]+Table1[[#This Row],[Eitc]]</f>
        <v>8727.9695327376594</v>
      </c>
      <c r="S106" s="9">
        <f>Table1[[#This Row],[Regular Taxes Owed - Effective Child Tax Credit]]-Table1[[#This Row],[Total Credits]]</f>
        <v>-8727.9695327376594</v>
      </c>
      <c r="T106" s="9">
        <f>Table1[[#This Row],[taxable wages]]+interest+dividends+short_term_capital_gains+long_term_capital_gains-(charitable_donations+mortgage_interest)</f>
        <v>34500</v>
      </c>
      <c r="U106" s="9">
        <f>MAX(amt_exemption-amt_exemption_phase_out_rate*MAX(Table1[[#This Row],[taxable wages]]-amt_phase_out_begins,0),0)</f>
        <v>83800</v>
      </c>
      <c r="V1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6" s="1">
        <f>IF(AND(Table1[[#This Row],[AMT Taxes]]&gt;Table1[[#This Row],[Regular Taxes Owed]],Table1[[#This Row],[AMT Taxes]]&gt;0),Table1[[#This Row],[AMT Taxes]]-Table1[[#This Row],[Regular Taxes Owed]],0)</f>
        <v>0</v>
      </c>
      <c r="X106" s="9">
        <f>Table1[[#This Row],[Extra Taxes From Amt]]+Table1[[#This Row],[Federal Taxes Owed (No AMT)]]</f>
        <v>-8727.9695327376594</v>
      </c>
      <c r="Y106" s="9">
        <f>IF(Table1[[#This Row],[taxable wages]]&gt;obamacare_surcharge_amount,obamacare_surcharge_percent*(Table1[[#This Row],[taxable wages]]-obamacare_surcharge_amount),0)</f>
        <v>0</v>
      </c>
      <c r="Z106" s="9">
        <f>Table1[[#This Row],[Federal Taxes Owed (Includes AMT)]]+Table1[[#This Row],[Obamacare surcharge premium]]</f>
        <v>-8727.9695327376594</v>
      </c>
      <c r="AA106" s="9">
        <f>Table1[[#This Row],[taxable wages]]-Table1[[#This Row],[Federal Taxes Owed2]]</f>
        <v>43227.969532737661</v>
      </c>
      <c r="AB106" s="51">
        <f t="shared" si="16"/>
        <v>6.0597627068989822E-2</v>
      </c>
      <c r="AC106" s="41"/>
      <c r="AD106" s="13"/>
      <c r="AE106" s="13"/>
    </row>
    <row r="107" spans="2:31" x14ac:dyDescent="0.3">
      <c r="B107" s="41">
        <f t="shared" si="17"/>
        <v>35000</v>
      </c>
      <c r="C107" s="1">
        <f>Table1[[#This Row],[taxable wages]]</f>
        <v>35000</v>
      </c>
      <c r="D107" s="1">
        <f>Table1[[#This Row],[taxable wages]]+interest+dividends+short_term_capital_gains+long_term_capital_gains</f>
        <v>35000</v>
      </c>
      <c r="E107" s="1">
        <f>MAX(Table1[[#This Row],[earned income for EITC]:[Agi For Eitc Calc]])</f>
        <v>35000</v>
      </c>
      <c r="F107" s="1">
        <f>Table1[[#This Row],[taxable wages]]+interest+dividends+short_term_capital_gains+long_term_capital_gains-(trad_ira_contributions+MIN(student_loan_interest_cap,student_loan_interest))</f>
        <v>35000</v>
      </c>
      <c r="G107" s="1">
        <f t="shared" si="13"/>
        <v>12600</v>
      </c>
      <c r="H107" s="1">
        <f t="shared" si="14"/>
        <v>28350</v>
      </c>
      <c r="I107" s="1">
        <f>MAX(0,Table1[[#This Row],[Agi]]-Table1[[#This Row],[Exemptions]]-Table1[[#This Row],[Effective Deductions]])</f>
        <v>0</v>
      </c>
      <c r="J1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7" s="1">
        <f t="shared" si="15"/>
        <v>5000</v>
      </c>
      <c r="L107" s="1">
        <f>IF(Table1[[#This Row],[Agi]]&gt;ctc_phase_out_begins,ctc_phase_out_rate*(Table1[[#This Row],[Agi]]-ctc_phase_out_begins),0)</f>
        <v>0</v>
      </c>
      <c r="M107" s="1">
        <f>MAX(Table1[[#This Row],[Child Tax Credit]]-Table1[[#This Row],[Child Tax Credit Phase Out]],0)</f>
        <v>5000</v>
      </c>
      <c r="N107" s="1">
        <f>MAX(Table1[[#This Row],[Regular Taxes Owed]]-Table1[[#This Row],[Effective Child Tax Credit]],0)</f>
        <v>0</v>
      </c>
      <c r="O107" s="1">
        <f>MAX(MIN((Table1[[#This Row],[taxable wages]]-3000)*0.15,1000*num_kids_16_younger),0)</f>
        <v>4800</v>
      </c>
      <c r="P107" s="9">
        <f>IF(Table1[[#This Row],[Effective Child Tax Credit]]&gt;Table1[[#This Row],[Regular Taxes Owed]],Table1[[#This Row],[Additional Child Tax Credit ]]-Table1[[#This Row],[Regular Taxes Owed]],0)</f>
        <v>4800</v>
      </c>
      <c r="Q1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3897.6707192031636</v>
      </c>
      <c r="R107" s="1">
        <f>Table1[[#This Row],[Effective Additional Child Tax Credit]]+Table1[[#This Row],[Eitc]]</f>
        <v>8697.6707192031645</v>
      </c>
      <c r="S107" s="9">
        <f>Table1[[#This Row],[Regular Taxes Owed - Effective Child Tax Credit]]-Table1[[#This Row],[Total Credits]]</f>
        <v>-8697.6707192031645</v>
      </c>
      <c r="T107" s="9">
        <f>Table1[[#This Row],[taxable wages]]+interest+dividends+short_term_capital_gains+long_term_capital_gains-(charitable_donations+mortgage_interest)</f>
        <v>35000</v>
      </c>
      <c r="U107" s="9">
        <f>MAX(amt_exemption-amt_exemption_phase_out_rate*MAX(Table1[[#This Row],[taxable wages]]-amt_phase_out_begins,0),0)</f>
        <v>83800</v>
      </c>
      <c r="V1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7" s="1">
        <f>IF(AND(Table1[[#This Row],[AMT Taxes]]&gt;Table1[[#This Row],[Regular Taxes Owed]],Table1[[#This Row],[AMT Taxes]]&gt;0),Table1[[#This Row],[AMT Taxes]]-Table1[[#This Row],[Regular Taxes Owed]],0)</f>
        <v>0</v>
      </c>
      <c r="X107" s="9">
        <f>Table1[[#This Row],[Extra Taxes From Amt]]+Table1[[#This Row],[Federal Taxes Owed (No AMT)]]</f>
        <v>-8697.6707192031645</v>
      </c>
      <c r="Y107" s="9">
        <f>IF(Table1[[#This Row],[taxable wages]]&gt;obamacare_surcharge_amount,obamacare_surcharge_percent*(Table1[[#This Row],[taxable wages]]-obamacare_surcharge_amount),0)</f>
        <v>0</v>
      </c>
      <c r="Z107" s="9">
        <f>Table1[[#This Row],[Federal Taxes Owed (Includes AMT)]]+Table1[[#This Row],[Obamacare surcharge premium]]</f>
        <v>-8697.6707192031645</v>
      </c>
      <c r="AA107" s="9">
        <f>Table1[[#This Row],[taxable wages]]-Table1[[#This Row],[Federal Taxes Owed2]]</f>
        <v>43697.670719203161</v>
      </c>
      <c r="AB107" s="51">
        <f t="shared" si="16"/>
        <v>6.0597627068989822E-2</v>
      </c>
      <c r="AC107" s="41"/>
      <c r="AD107" s="13"/>
      <c r="AE107" s="13"/>
    </row>
    <row r="108" spans="2:31" x14ac:dyDescent="0.3">
      <c r="B108" s="41">
        <f t="shared" si="17"/>
        <v>35500</v>
      </c>
      <c r="C108" s="1">
        <f>Table1[[#This Row],[taxable wages]]</f>
        <v>35500</v>
      </c>
      <c r="D108" s="1">
        <f>Table1[[#This Row],[taxable wages]]+interest+dividends+short_term_capital_gains+long_term_capital_gains</f>
        <v>35500</v>
      </c>
      <c r="E108" s="1">
        <f>MAX(Table1[[#This Row],[earned income for EITC]:[Agi For Eitc Calc]])</f>
        <v>35500</v>
      </c>
      <c r="F108" s="1">
        <f>Table1[[#This Row],[taxable wages]]+interest+dividends+short_term_capital_gains+long_term_capital_gains-(trad_ira_contributions+MIN(student_loan_interest_cap,student_loan_interest))</f>
        <v>35500</v>
      </c>
      <c r="G108" s="1">
        <f t="shared" si="13"/>
        <v>12600</v>
      </c>
      <c r="H108" s="1">
        <f t="shared" si="14"/>
        <v>28350</v>
      </c>
      <c r="I108" s="1">
        <f>MAX(0,Table1[[#This Row],[Agi]]-Table1[[#This Row],[Exemptions]]-Table1[[#This Row],[Effective Deductions]])</f>
        <v>0</v>
      </c>
      <c r="J1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8" s="1">
        <f t="shared" si="15"/>
        <v>5000</v>
      </c>
      <c r="L108" s="1">
        <f>IF(Table1[[#This Row],[Agi]]&gt;ctc_phase_out_begins,ctc_phase_out_rate*(Table1[[#This Row],[Agi]]-ctc_phase_out_begins),0)</f>
        <v>0</v>
      </c>
      <c r="M108" s="1">
        <f>MAX(Table1[[#This Row],[Child Tax Credit]]-Table1[[#This Row],[Child Tax Credit Phase Out]],0)</f>
        <v>5000</v>
      </c>
      <c r="N108" s="1">
        <f>MAX(Table1[[#This Row],[Regular Taxes Owed]]-Table1[[#This Row],[Effective Child Tax Credit]],0)</f>
        <v>0</v>
      </c>
      <c r="O108" s="1">
        <f>MAX(MIN((Table1[[#This Row],[taxable wages]]-3000)*0.15,1000*num_kids_16_younger),0)</f>
        <v>4875</v>
      </c>
      <c r="P108" s="9">
        <f>IF(Table1[[#This Row],[Effective Child Tax Credit]]&gt;Table1[[#This Row],[Regular Taxes Owed]],Table1[[#This Row],[Additional Child Tax Credit ]]-Table1[[#This Row],[Regular Taxes Owed]],0)</f>
        <v>4875</v>
      </c>
      <c r="Q1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3792.3719056686682</v>
      </c>
      <c r="R108" s="1">
        <f>Table1[[#This Row],[Effective Additional Child Tax Credit]]+Table1[[#This Row],[Eitc]]</f>
        <v>8667.3719056686678</v>
      </c>
      <c r="S108" s="9">
        <f>Table1[[#This Row],[Regular Taxes Owed - Effective Child Tax Credit]]-Table1[[#This Row],[Total Credits]]</f>
        <v>-8667.3719056686678</v>
      </c>
      <c r="T108" s="9">
        <f>Table1[[#This Row],[taxable wages]]+interest+dividends+short_term_capital_gains+long_term_capital_gains-(charitable_donations+mortgage_interest)</f>
        <v>35500</v>
      </c>
      <c r="U108" s="9">
        <f>MAX(amt_exemption-amt_exemption_phase_out_rate*MAX(Table1[[#This Row],[taxable wages]]-amt_phase_out_begins,0),0)</f>
        <v>83800</v>
      </c>
      <c r="V1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8" s="1">
        <f>IF(AND(Table1[[#This Row],[AMT Taxes]]&gt;Table1[[#This Row],[Regular Taxes Owed]],Table1[[#This Row],[AMT Taxes]]&gt;0),Table1[[#This Row],[AMT Taxes]]-Table1[[#This Row],[Regular Taxes Owed]],0)</f>
        <v>0</v>
      </c>
      <c r="X108" s="9">
        <f>Table1[[#This Row],[Extra Taxes From Amt]]+Table1[[#This Row],[Federal Taxes Owed (No AMT)]]</f>
        <v>-8667.3719056686678</v>
      </c>
      <c r="Y108" s="9">
        <f>IF(Table1[[#This Row],[taxable wages]]&gt;obamacare_surcharge_amount,obamacare_surcharge_percent*(Table1[[#This Row],[taxable wages]]-obamacare_surcharge_amount),0)</f>
        <v>0</v>
      </c>
      <c r="Z108" s="9">
        <f>Table1[[#This Row],[Federal Taxes Owed (Includes AMT)]]+Table1[[#This Row],[Obamacare surcharge premium]]</f>
        <v>-8667.3719056686678</v>
      </c>
      <c r="AA108" s="9">
        <f>Table1[[#This Row],[taxable wages]]-Table1[[#This Row],[Federal Taxes Owed2]]</f>
        <v>44167.371905668668</v>
      </c>
      <c r="AB108" s="51">
        <f t="shared" si="16"/>
        <v>6.0597627068993458E-2</v>
      </c>
      <c r="AC108" s="41"/>
      <c r="AD108" s="13"/>
      <c r="AE108" s="13"/>
    </row>
    <row r="109" spans="2:31" x14ac:dyDescent="0.3">
      <c r="B109" s="41">
        <f t="shared" si="17"/>
        <v>36000</v>
      </c>
      <c r="C109" s="1">
        <f>Table1[[#This Row],[taxable wages]]</f>
        <v>36000</v>
      </c>
      <c r="D109" s="1">
        <f>Table1[[#This Row],[taxable wages]]+interest+dividends+short_term_capital_gains+long_term_capital_gains</f>
        <v>36000</v>
      </c>
      <c r="E109" s="1">
        <f>MAX(Table1[[#This Row],[earned income for EITC]:[Agi For Eitc Calc]])</f>
        <v>36000</v>
      </c>
      <c r="F109" s="1">
        <f>Table1[[#This Row],[taxable wages]]+interest+dividends+short_term_capital_gains+long_term_capital_gains-(trad_ira_contributions+MIN(student_loan_interest_cap,student_loan_interest))</f>
        <v>36000</v>
      </c>
      <c r="G109" s="1">
        <f t="shared" si="13"/>
        <v>12600</v>
      </c>
      <c r="H109" s="1">
        <f t="shared" si="14"/>
        <v>28350</v>
      </c>
      <c r="I109" s="1">
        <f>MAX(0,Table1[[#This Row],[Agi]]-Table1[[#This Row],[Exemptions]]-Table1[[#This Row],[Effective Deductions]])</f>
        <v>0</v>
      </c>
      <c r="J1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09" s="1">
        <f t="shared" si="15"/>
        <v>5000</v>
      </c>
      <c r="L109" s="1">
        <f>IF(Table1[[#This Row],[Agi]]&gt;ctc_phase_out_begins,ctc_phase_out_rate*(Table1[[#This Row],[Agi]]-ctc_phase_out_begins),0)</f>
        <v>0</v>
      </c>
      <c r="M109" s="1">
        <f>MAX(Table1[[#This Row],[Child Tax Credit]]-Table1[[#This Row],[Child Tax Credit Phase Out]],0)</f>
        <v>5000</v>
      </c>
      <c r="N109" s="1">
        <f>MAX(Table1[[#This Row],[Regular Taxes Owed]]-Table1[[#This Row],[Effective Child Tax Credit]],0)</f>
        <v>0</v>
      </c>
      <c r="O109" s="1">
        <f>MAX(MIN((Table1[[#This Row],[taxable wages]]-3000)*0.15,1000*num_kids_16_younger),0)</f>
        <v>4950</v>
      </c>
      <c r="P109" s="9">
        <f>IF(Table1[[#This Row],[Effective Child Tax Credit]]&gt;Table1[[#This Row],[Regular Taxes Owed]],Table1[[#This Row],[Additional Child Tax Credit ]]-Table1[[#This Row],[Regular Taxes Owed]],0)</f>
        <v>4950</v>
      </c>
      <c r="Q1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3687.0730921341728</v>
      </c>
      <c r="R109" s="1">
        <f>Table1[[#This Row],[Effective Additional Child Tax Credit]]+Table1[[#This Row],[Eitc]]</f>
        <v>8637.0730921341728</v>
      </c>
      <c r="S109" s="9">
        <f>Table1[[#This Row],[Regular Taxes Owed - Effective Child Tax Credit]]-Table1[[#This Row],[Total Credits]]</f>
        <v>-8637.0730921341728</v>
      </c>
      <c r="T109" s="9">
        <f>Table1[[#This Row],[taxable wages]]+interest+dividends+short_term_capital_gains+long_term_capital_gains-(charitable_donations+mortgage_interest)</f>
        <v>36000</v>
      </c>
      <c r="U109" s="9">
        <f>MAX(amt_exemption-amt_exemption_phase_out_rate*MAX(Table1[[#This Row],[taxable wages]]-amt_phase_out_begins,0),0)</f>
        <v>83800</v>
      </c>
      <c r="V1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09" s="1">
        <f>IF(AND(Table1[[#This Row],[AMT Taxes]]&gt;Table1[[#This Row],[Regular Taxes Owed]],Table1[[#This Row],[AMT Taxes]]&gt;0),Table1[[#This Row],[AMT Taxes]]-Table1[[#This Row],[Regular Taxes Owed]],0)</f>
        <v>0</v>
      </c>
      <c r="X109" s="9">
        <f>Table1[[#This Row],[Extra Taxes From Amt]]+Table1[[#This Row],[Federal Taxes Owed (No AMT)]]</f>
        <v>-8637.0730921341728</v>
      </c>
      <c r="Y109" s="9">
        <f>IF(Table1[[#This Row],[taxable wages]]&gt;obamacare_surcharge_amount,obamacare_surcharge_percent*(Table1[[#This Row],[taxable wages]]-obamacare_surcharge_amount),0)</f>
        <v>0</v>
      </c>
      <c r="Z109" s="9">
        <f>Table1[[#This Row],[Federal Taxes Owed (Includes AMT)]]+Table1[[#This Row],[Obamacare surcharge premium]]</f>
        <v>-8637.0730921341728</v>
      </c>
      <c r="AA109" s="9">
        <f>Table1[[#This Row],[taxable wages]]-Table1[[#This Row],[Federal Taxes Owed2]]</f>
        <v>44637.073092134175</v>
      </c>
      <c r="AB109" s="51">
        <f t="shared" si="16"/>
        <v>6.0597627068989822E-2</v>
      </c>
      <c r="AC109" s="41"/>
      <c r="AD109" s="13"/>
      <c r="AE109" s="13"/>
    </row>
    <row r="110" spans="2:31" x14ac:dyDescent="0.3">
      <c r="B110" s="41">
        <f t="shared" si="17"/>
        <v>36500</v>
      </c>
      <c r="C110" s="1">
        <f>Table1[[#This Row],[taxable wages]]</f>
        <v>36500</v>
      </c>
      <c r="D110" s="1">
        <f>Table1[[#This Row],[taxable wages]]+interest+dividends+short_term_capital_gains+long_term_capital_gains</f>
        <v>36500</v>
      </c>
      <c r="E110" s="1">
        <f>MAX(Table1[[#This Row],[earned income for EITC]:[Agi For Eitc Calc]])</f>
        <v>36500</v>
      </c>
      <c r="F110" s="1">
        <f>Table1[[#This Row],[taxable wages]]+interest+dividends+short_term_capital_gains+long_term_capital_gains-(trad_ira_contributions+MIN(student_loan_interest_cap,student_loan_interest))</f>
        <v>36500</v>
      </c>
      <c r="G110" s="1">
        <f t="shared" si="13"/>
        <v>12600</v>
      </c>
      <c r="H110" s="1">
        <f t="shared" si="14"/>
        <v>28350</v>
      </c>
      <c r="I110" s="1">
        <f>MAX(0,Table1[[#This Row],[Agi]]-Table1[[#This Row],[Exemptions]]-Table1[[#This Row],[Effective Deductions]])</f>
        <v>0</v>
      </c>
      <c r="J1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0" s="1">
        <f t="shared" si="15"/>
        <v>5000</v>
      </c>
      <c r="L110" s="1">
        <f>IF(Table1[[#This Row],[Agi]]&gt;ctc_phase_out_begins,ctc_phase_out_rate*(Table1[[#This Row],[Agi]]-ctc_phase_out_begins),0)</f>
        <v>0</v>
      </c>
      <c r="M110" s="1">
        <f>MAX(Table1[[#This Row],[Child Tax Credit]]-Table1[[#This Row],[Child Tax Credit Phase Out]],0)</f>
        <v>5000</v>
      </c>
      <c r="N110" s="1">
        <f>MAX(Table1[[#This Row],[Regular Taxes Owed]]-Table1[[#This Row],[Effective Child Tax Credit]],0)</f>
        <v>0</v>
      </c>
      <c r="O110" s="1">
        <f>MAX(MIN((Table1[[#This Row],[taxable wages]]-3000)*0.15,1000*num_kids_16_younger),0)</f>
        <v>5000</v>
      </c>
      <c r="P110" s="9">
        <f>IF(Table1[[#This Row],[Effective Child Tax Credit]]&gt;Table1[[#This Row],[Regular Taxes Owed]],Table1[[#This Row],[Additional Child Tax Credit ]]-Table1[[#This Row],[Regular Taxes Owed]],0)</f>
        <v>5000</v>
      </c>
      <c r="Q1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3581.7742785996775</v>
      </c>
      <c r="R110" s="1">
        <f>Table1[[#This Row],[Effective Additional Child Tax Credit]]+Table1[[#This Row],[Eitc]]</f>
        <v>8581.7742785996779</v>
      </c>
      <c r="S110" s="9">
        <f>Table1[[#This Row],[Regular Taxes Owed - Effective Child Tax Credit]]-Table1[[#This Row],[Total Credits]]</f>
        <v>-8581.7742785996779</v>
      </c>
      <c r="T110" s="9">
        <f>Table1[[#This Row],[taxable wages]]+interest+dividends+short_term_capital_gains+long_term_capital_gains-(charitable_donations+mortgage_interest)</f>
        <v>36500</v>
      </c>
      <c r="U110" s="9">
        <f>MAX(amt_exemption-amt_exemption_phase_out_rate*MAX(Table1[[#This Row],[taxable wages]]-amt_phase_out_begins,0),0)</f>
        <v>83800</v>
      </c>
      <c r="V1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0" s="1">
        <f>IF(AND(Table1[[#This Row],[AMT Taxes]]&gt;Table1[[#This Row],[Regular Taxes Owed]],Table1[[#This Row],[AMT Taxes]]&gt;0),Table1[[#This Row],[AMT Taxes]]-Table1[[#This Row],[Regular Taxes Owed]],0)</f>
        <v>0</v>
      </c>
      <c r="X110" s="9">
        <f>Table1[[#This Row],[Extra Taxes From Amt]]+Table1[[#This Row],[Federal Taxes Owed (No AMT)]]</f>
        <v>-8581.7742785996779</v>
      </c>
      <c r="Y110" s="9">
        <f>IF(Table1[[#This Row],[taxable wages]]&gt;obamacare_surcharge_amount,obamacare_surcharge_percent*(Table1[[#This Row],[taxable wages]]-obamacare_surcharge_amount),0)</f>
        <v>0</v>
      </c>
      <c r="Z110" s="9">
        <f>Table1[[#This Row],[Federal Taxes Owed (Includes AMT)]]+Table1[[#This Row],[Obamacare surcharge premium]]</f>
        <v>-8581.7742785996779</v>
      </c>
      <c r="AA110" s="9">
        <f>Table1[[#This Row],[taxable wages]]-Table1[[#This Row],[Federal Taxes Owed2]]</f>
        <v>45081.774278599682</v>
      </c>
      <c r="AB110" s="51">
        <f t="shared" si="16"/>
        <v>0.11059762706898982</v>
      </c>
      <c r="AC110" s="41"/>
      <c r="AD110" s="13"/>
      <c r="AE110" s="13"/>
    </row>
    <row r="111" spans="2:31" x14ac:dyDescent="0.3">
      <c r="B111" s="41">
        <f t="shared" si="17"/>
        <v>37000</v>
      </c>
      <c r="C111" s="1">
        <f>Table1[[#This Row],[taxable wages]]</f>
        <v>37000</v>
      </c>
      <c r="D111" s="1">
        <f>Table1[[#This Row],[taxable wages]]+interest+dividends+short_term_capital_gains+long_term_capital_gains</f>
        <v>37000</v>
      </c>
      <c r="E111" s="1">
        <f>MAX(Table1[[#This Row],[earned income for EITC]:[Agi For Eitc Calc]])</f>
        <v>37000</v>
      </c>
      <c r="F111" s="1">
        <f>Table1[[#This Row],[taxable wages]]+interest+dividends+short_term_capital_gains+long_term_capital_gains-(trad_ira_contributions+MIN(student_loan_interest_cap,student_loan_interest))</f>
        <v>37000</v>
      </c>
      <c r="G111" s="1">
        <f t="shared" si="13"/>
        <v>12600</v>
      </c>
      <c r="H111" s="1">
        <f t="shared" si="14"/>
        <v>28350</v>
      </c>
      <c r="I111" s="1">
        <f>MAX(0,Table1[[#This Row],[Agi]]-Table1[[#This Row],[Exemptions]]-Table1[[#This Row],[Effective Deductions]])</f>
        <v>0</v>
      </c>
      <c r="J1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1" s="1">
        <f t="shared" si="15"/>
        <v>5000</v>
      </c>
      <c r="L111" s="1">
        <f>IF(Table1[[#This Row],[Agi]]&gt;ctc_phase_out_begins,ctc_phase_out_rate*(Table1[[#This Row],[Agi]]-ctc_phase_out_begins),0)</f>
        <v>0</v>
      </c>
      <c r="M111" s="1">
        <f>MAX(Table1[[#This Row],[Child Tax Credit]]-Table1[[#This Row],[Child Tax Credit Phase Out]],0)</f>
        <v>5000</v>
      </c>
      <c r="N111" s="1">
        <f>MAX(Table1[[#This Row],[Regular Taxes Owed]]-Table1[[#This Row],[Effective Child Tax Credit]],0)</f>
        <v>0</v>
      </c>
      <c r="O111" s="1">
        <f>MAX(MIN((Table1[[#This Row],[taxable wages]]-3000)*0.15,1000*num_kids_16_younger),0)</f>
        <v>5000</v>
      </c>
      <c r="P111" s="9">
        <f>IF(Table1[[#This Row],[Effective Child Tax Credit]]&gt;Table1[[#This Row],[Regular Taxes Owed]],Table1[[#This Row],[Additional Child Tax Credit ]]-Table1[[#This Row],[Regular Taxes Owed]],0)</f>
        <v>5000</v>
      </c>
      <c r="Q1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3476.4754650651821</v>
      </c>
      <c r="R111" s="1">
        <f>Table1[[#This Row],[Effective Additional Child Tax Credit]]+Table1[[#This Row],[Eitc]]</f>
        <v>8476.4754650651812</v>
      </c>
      <c r="S111" s="9">
        <f>Table1[[#This Row],[Regular Taxes Owed - Effective Child Tax Credit]]-Table1[[#This Row],[Total Credits]]</f>
        <v>-8476.4754650651812</v>
      </c>
      <c r="T111" s="9">
        <f>Table1[[#This Row],[taxable wages]]+interest+dividends+short_term_capital_gains+long_term_capital_gains-(charitable_donations+mortgage_interest)</f>
        <v>37000</v>
      </c>
      <c r="U111" s="9">
        <f>MAX(amt_exemption-amt_exemption_phase_out_rate*MAX(Table1[[#This Row],[taxable wages]]-amt_phase_out_begins,0),0)</f>
        <v>83800</v>
      </c>
      <c r="V1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1" s="1">
        <f>IF(AND(Table1[[#This Row],[AMT Taxes]]&gt;Table1[[#This Row],[Regular Taxes Owed]],Table1[[#This Row],[AMT Taxes]]&gt;0),Table1[[#This Row],[AMT Taxes]]-Table1[[#This Row],[Regular Taxes Owed]],0)</f>
        <v>0</v>
      </c>
      <c r="X111" s="9">
        <f>Table1[[#This Row],[Extra Taxes From Amt]]+Table1[[#This Row],[Federal Taxes Owed (No AMT)]]</f>
        <v>-8476.4754650651812</v>
      </c>
      <c r="Y111" s="9">
        <f>IF(Table1[[#This Row],[taxable wages]]&gt;obamacare_surcharge_amount,obamacare_surcharge_percent*(Table1[[#This Row],[taxable wages]]-obamacare_surcharge_amount),0)</f>
        <v>0</v>
      </c>
      <c r="Z111" s="9">
        <f>Table1[[#This Row],[Federal Taxes Owed (Includes AMT)]]+Table1[[#This Row],[Obamacare surcharge premium]]</f>
        <v>-8476.4754650651812</v>
      </c>
      <c r="AA111" s="9">
        <f>Table1[[#This Row],[taxable wages]]-Table1[[#This Row],[Federal Taxes Owed2]]</f>
        <v>45476.475465065181</v>
      </c>
      <c r="AB111" s="51">
        <f t="shared" si="16"/>
        <v>0.21059762706899346</v>
      </c>
      <c r="AC111" s="41"/>
      <c r="AD111" s="13"/>
      <c r="AE111" s="13"/>
    </row>
    <row r="112" spans="2:31" x14ac:dyDescent="0.3">
      <c r="B112" s="41">
        <f t="shared" si="17"/>
        <v>37500</v>
      </c>
      <c r="C112" s="1">
        <f>Table1[[#This Row],[taxable wages]]</f>
        <v>37500</v>
      </c>
      <c r="D112" s="1">
        <f>Table1[[#This Row],[taxable wages]]+interest+dividends+short_term_capital_gains+long_term_capital_gains</f>
        <v>37500</v>
      </c>
      <c r="E112" s="1">
        <f>MAX(Table1[[#This Row],[earned income for EITC]:[Agi For Eitc Calc]])</f>
        <v>37500</v>
      </c>
      <c r="F112" s="1">
        <f>Table1[[#This Row],[taxable wages]]+interest+dividends+short_term_capital_gains+long_term_capital_gains-(trad_ira_contributions+MIN(student_loan_interest_cap,student_loan_interest))</f>
        <v>37500</v>
      </c>
      <c r="G112" s="1">
        <f t="shared" si="13"/>
        <v>12600</v>
      </c>
      <c r="H112" s="1">
        <f t="shared" si="14"/>
        <v>28350</v>
      </c>
      <c r="I112" s="1">
        <f>MAX(0,Table1[[#This Row],[Agi]]-Table1[[#This Row],[Exemptions]]-Table1[[#This Row],[Effective Deductions]])</f>
        <v>0</v>
      </c>
      <c r="J1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2" s="1">
        <f t="shared" si="15"/>
        <v>5000</v>
      </c>
      <c r="L112" s="1">
        <f>IF(Table1[[#This Row],[Agi]]&gt;ctc_phase_out_begins,ctc_phase_out_rate*(Table1[[#This Row],[Agi]]-ctc_phase_out_begins),0)</f>
        <v>0</v>
      </c>
      <c r="M112" s="1">
        <f>MAX(Table1[[#This Row],[Child Tax Credit]]-Table1[[#This Row],[Child Tax Credit Phase Out]],0)</f>
        <v>5000</v>
      </c>
      <c r="N112" s="1">
        <f>MAX(Table1[[#This Row],[Regular Taxes Owed]]-Table1[[#This Row],[Effective Child Tax Credit]],0)</f>
        <v>0</v>
      </c>
      <c r="O112" s="1">
        <f>MAX(MIN((Table1[[#This Row],[taxable wages]]-3000)*0.15,1000*num_kids_16_younger),0)</f>
        <v>5000</v>
      </c>
      <c r="P112" s="9">
        <f>IF(Table1[[#This Row],[Effective Child Tax Credit]]&gt;Table1[[#This Row],[Regular Taxes Owed]],Table1[[#This Row],[Additional Child Tax Credit ]]-Table1[[#This Row],[Regular Taxes Owed]],0)</f>
        <v>5000</v>
      </c>
      <c r="Q1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3371.1766515306867</v>
      </c>
      <c r="R112" s="1">
        <f>Table1[[#This Row],[Effective Additional Child Tax Credit]]+Table1[[#This Row],[Eitc]]</f>
        <v>8371.1766515306863</v>
      </c>
      <c r="S112" s="9">
        <f>Table1[[#This Row],[Regular Taxes Owed - Effective Child Tax Credit]]-Table1[[#This Row],[Total Credits]]</f>
        <v>-8371.1766515306863</v>
      </c>
      <c r="T112" s="9">
        <f>Table1[[#This Row],[taxable wages]]+interest+dividends+short_term_capital_gains+long_term_capital_gains-(charitable_donations+mortgage_interest)</f>
        <v>37500</v>
      </c>
      <c r="U112" s="9">
        <f>MAX(amt_exemption-amt_exemption_phase_out_rate*MAX(Table1[[#This Row],[taxable wages]]-amt_phase_out_begins,0),0)</f>
        <v>83800</v>
      </c>
      <c r="V1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2" s="1">
        <f>IF(AND(Table1[[#This Row],[AMT Taxes]]&gt;Table1[[#This Row],[Regular Taxes Owed]],Table1[[#This Row],[AMT Taxes]]&gt;0),Table1[[#This Row],[AMT Taxes]]-Table1[[#This Row],[Regular Taxes Owed]],0)</f>
        <v>0</v>
      </c>
      <c r="X112" s="9">
        <f>Table1[[#This Row],[Extra Taxes From Amt]]+Table1[[#This Row],[Federal Taxes Owed (No AMT)]]</f>
        <v>-8371.1766515306863</v>
      </c>
      <c r="Y112" s="9">
        <f>IF(Table1[[#This Row],[taxable wages]]&gt;obamacare_surcharge_amount,obamacare_surcharge_percent*(Table1[[#This Row],[taxable wages]]-obamacare_surcharge_amount),0)</f>
        <v>0</v>
      </c>
      <c r="Z112" s="9">
        <f>Table1[[#This Row],[Federal Taxes Owed (Includes AMT)]]+Table1[[#This Row],[Obamacare surcharge premium]]</f>
        <v>-8371.1766515306863</v>
      </c>
      <c r="AA112" s="9">
        <f>Table1[[#This Row],[taxable wages]]-Table1[[#This Row],[Federal Taxes Owed2]]</f>
        <v>45871.176651530688</v>
      </c>
      <c r="AB112" s="51">
        <f t="shared" si="16"/>
        <v>0.21059762706898982</v>
      </c>
      <c r="AC112" s="41"/>
      <c r="AD112" s="13"/>
      <c r="AE112" s="13"/>
    </row>
    <row r="113" spans="2:31" x14ac:dyDescent="0.3">
      <c r="B113" s="41">
        <f t="shared" si="17"/>
        <v>38000</v>
      </c>
      <c r="C113" s="1">
        <f>Table1[[#This Row],[taxable wages]]</f>
        <v>38000</v>
      </c>
      <c r="D113" s="1">
        <f>Table1[[#This Row],[taxable wages]]+interest+dividends+short_term_capital_gains+long_term_capital_gains</f>
        <v>38000</v>
      </c>
      <c r="E113" s="1">
        <f>MAX(Table1[[#This Row],[earned income for EITC]:[Agi For Eitc Calc]])</f>
        <v>38000</v>
      </c>
      <c r="F113" s="1">
        <f>Table1[[#This Row],[taxable wages]]+interest+dividends+short_term_capital_gains+long_term_capital_gains-(trad_ira_contributions+MIN(student_loan_interest_cap,student_loan_interest))</f>
        <v>38000</v>
      </c>
      <c r="G113" s="1">
        <f t="shared" si="13"/>
        <v>12600</v>
      </c>
      <c r="H113" s="1">
        <f t="shared" si="14"/>
        <v>28350</v>
      </c>
      <c r="I113" s="1">
        <f>MAX(0,Table1[[#This Row],[Agi]]-Table1[[#This Row],[Exemptions]]-Table1[[#This Row],[Effective Deductions]])</f>
        <v>0</v>
      </c>
      <c r="J1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3" s="1">
        <f t="shared" si="15"/>
        <v>5000</v>
      </c>
      <c r="L113" s="1">
        <f>IF(Table1[[#This Row],[Agi]]&gt;ctc_phase_out_begins,ctc_phase_out_rate*(Table1[[#This Row],[Agi]]-ctc_phase_out_begins),0)</f>
        <v>0</v>
      </c>
      <c r="M113" s="1">
        <f>MAX(Table1[[#This Row],[Child Tax Credit]]-Table1[[#This Row],[Child Tax Credit Phase Out]],0)</f>
        <v>5000</v>
      </c>
      <c r="N113" s="1">
        <f>MAX(Table1[[#This Row],[Regular Taxes Owed]]-Table1[[#This Row],[Effective Child Tax Credit]],0)</f>
        <v>0</v>
      </c>
      <c r="O113" s="1">
        <f>MAX(MIN((Table1[[#This Row],[taxable wages]]-3000)*0.15,1000*num_kids_16_younger),0)</f>
        <v>5000</v>
      </c>
      <c r="P113" s="9">
        <f>IF(Table1[[#This Row],[Effective Child Tax Credit]]&gt;Table1[[#This Row],[Regular Taxes Owed]],Table1[[#This Row],[Additional Child Tax Credit ]]-Table1[[#This Row],[Regular Taxes Owed]],0)</f>
        <v>5000</v>
      </c>
      <c r="Q1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3265.8778379961914</v>
      </c>
      <c r="R113" s="1">
        <f>Table1[[#This Row],[Effective Additional Child Tax Credit]]+Table1[[#This Row],[Eitc]]</f>
        <v>8265.8778379961914</v>
      </c>
      <c r="S113" s="9">
        <f>Table1[[#This Row],[Regular Taxes Owed - Effective Child Tax Credit]]-Table1[[#This Row],[Total Credits]]</f>
        <v>-8265.8778379961914</v>
      </c>
      <c r="T113" s="9">
        <f>Table1[[#This Row],[taxable wages]]+interest+dividends+short_term_capital_gains+long_term_capital_gains-(charitable_donations+mortgage_interest)</f>
        <v>38000</v>
      </c>
      <c r="U113" s="9">
        <f>MAX(amt_exemption-amt_exemption_phase_out_rate*MAX(Table1[[#This Row],[taxable wages]]-amt_phase_out_begins,0),0)</f>
        <v>83800</v>
      </c>
      <c r="V1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3" s="1">
        <f>IF(AND(Table1[[#This Row],[AMT Taxes]]&gt;Table1[[#This Row],[Regular Taxes Owed]],Table1[[#This Row],[AMT Taxes]]&gt;0),Table1[[#This Row],[AMT Taxes]]-Table1[[#This Row],[Regular Taxes Owed]],0)</f>
        <v>0</v>
      </c>
      <c r="X113" s="9">
        <f>Table1[[#This Row],[Extra Taxes From Amt]]+Table1[[#This Row],[Federal Taxes Owed (No AMT)]]</f>
        <v>-8265.8778379961914</v>
      </c>
      <c r="Y113" s="9">
        <f>IF(Table1[[#This Row],[taxable wages]]&gt;obamacare_surcharge_amount,obamacare_surcharge_percent*(Table1[[#This Row],[taxable wages]]-obamacare_surcharge_amount),0)</f>
        <v>0</v>
      </c>
      <c r="Z113" s="9">
        <f>Table1[[#This Row],[Federal Taxes Owed (Includes AMT)]]+Table1[[#This Row],[Obamacare surcharge premium]]</f>
        <v>-8265.8778379961914</v>
      </c>
      <c r="AA113" s="9">
        <f>Table1[[#This Row],[taxable wages]]-Table1[[#This Row],[Federal Taxes Owed2]]</f>
        <v>46265.877837996188</v>
      </c>
      <c r="AB113" s="51">
        <f t="shared" si="16"/>
        <v>0.21059762706898982</v>
      </c>
      <c r="AC113" s="41"/>
      <c r="AD113" s="13"/>
      <c r="AE113" s="13"/>
    </row>
    <row r="114" spans="2:31" x14ac:dyDescent="0.3">
      <c r="B114" s="41">
        <f t="shared" si="17"/>
        <v>38500</v>
      </c>
      <c r="C114" s="1">
        <f>Table1[[#This Row],[taxable wages]]</f>
        <v>38500</v>
      </c>
      <c r="D114" s="1">
        <f>Table1[[#This Row],[taxable wages]]+interest+dividends+short_term_capital_gains+long_term_capital_gains</f>
        <v>38500</v>
      </c>
      <c r="E114" s="1">
        <f>MAX(Table1[[#This Row],[earned income for EITC]:[Agi For Eitc Calc]])</f>
        <v>38500</v>
      </c>
      <c r="F114" s="1">
        <f>Table1[[#This Row],[taxable wages]]+interest+dividends+short_term_capital_gains+long_term_capital_gains-(trad_ira_contributions+MIN(student_loan_interest_cap,student_loan_interest))</f>
        <v>38500</v>
      </c>
      <c r="G114" s="1">
        <f t="shared" si="13"/>
        <v>12600</v>
      </c>
      <c r="H114" s="1">
        <f t="shared" si="14"/>
        <v>28350</v>
      </c>
      <c r="I114" s="1">
        <f>MAX(0,Table1[[#This Row],[Agi]]-Table1[[#This Row],[Exemptions]]-Table1[[#This Row],[Effective Deductions]])</f>
        <v>0</v>
      </c>
      <c r="J1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4" s="1">
        <f t="shared" si="15"/>
        <v>5000</v>
      </c>
      <c r="L114" s="1">
        <f>IF(Table1[[#This Row],[Agi]]&gt;ctc_phase_out_begins,ctc_phase_out_rate*(Table1[[#This Row],[Agi]]-ctc_phase_out_begins),0)</f>
        <v>0</v>
      </c>
      <c r="M114" s="1">
        <f>MAX(Table1[[#This Row],[Child Tax Credit]]-Table1[[#This Row],[Child Tax Credit Phase Out]],0)</f>
        <v>5000</v>
      </c>
      <c r="N114" s="1">
        <f>MAX(Table1[[#This Row],[Regular Taxes Owed]]-Table1[[#This Row],[Effective Child Tax Credit]],0)</f>
        <v>0</v>
      </c>
      <c r="O114" s="1">
        <f>MAX(MIN((Table1[[#This Row],[taxable wages]]-3000)*0.15,1000*num_kids_16_younger),0)</f>
        <v>5000</v>
      </c>
      <c r="P114" s="9">
        <f>IF(Table1[[#This Row],[Effective Child Tax Credit]]&gt;Table1[[#This Row],[Regular Taxes Owed]],Table1[[#This Row],[Additional Child Tax Credit ]]-Table1[[#This Row],[Regular Taxes Owed]],0)</f>
        <v>5000</v>
      </c>
      <c r="Q1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3160.579024461696</v>
      </c>
      <c r="R114" s="1">
        <f>Table1[[#This Row],[Effective Additional Child Tax Credit]]+Table1[[#This Row],[Eitc]]</f>
        <v>8160.5790244616965</v>
      </c>
      <c r="S114" s="9">
        <f>Table1[[#This Row],[Regular Taxes Owed - Effective Child Tax Credit]]-Table1[[#This Row],[Total Credits]]</f>
        <v>-8160.5790244616965</v>
      </c>
      <c r="T114" s="9">
        <f>Table1[[#This Row],[taxable wages]]+interest+dividends+short_term_capital_gains+long_term_capital_gains-(charitable_donations+mortgage_interest)</f>
        <v>38500</v>
      </c>
      <c r="U114" s="9">
        <f>MAX(amt_exemption-amt_exemption_phase_out_rate*MAX(Table1[[#This Row],[taxable wages]]-amt_phase_out_begins,0),0)</f>
        <v>83800</v>
      </c>
      <c r="V1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4" s="1">
        <f>IF(AND(Table1[[#This Row],[AMT Taxes]]&gt;Table1[[#This Row],[Regular Taxes Owed]],Table1[[#This Row],[AMT Taxes]]&gt;0),Table1[[#This Row],[AMT Taxes]]-Table1[[#This Row],[Regular Taxes Owed]],0)</f>
        <v>0</v>
      </c>
      <c r="X114" s="9">
        <f>Table1[[#This Row],[Extra Taxes From Amt]]+Table1[[#This Row],[Federal Taxes Owed (No AMT)]]</f>
        <v>-8160.5790244616965</v>
      </c>
      <c r="Y114" s="9">
        <f>IF(Table1[[#This Row],[taxable wages]]&gt;obamacare_surcharge_amount,obamacare_surcharge_percent*(Table1[[#This Row],[taxable wages]]-obamacare_surcharge_amount),0)</f>
        <v>0</v>
      </c>
      <c r="Z114" s="9">
        <f>Table1[[#This Row],[Federal Taxes Owed (Includes AMT)]]+Table1[[#This Row],[Obamacare surcharge premium]]</f>
        <v>-8160.5790244616965</v>
      </c>
      <c r="AA114" s="9">
        <f>Table1[[#This Row],[taxable wages]]-Table1[[#This Row],[Federal Taxes Owed2]]</f>
        <v>46660.579024461695</v>
      </c>
      <c r="AB114" s="51">
        <f t="shared" si="16"/>
        <v>0.21059762706898982</v>
      </c>
      <c r="AC114" s="41"/>
      <c r="AD114" s="13"/>
      <c r="AE114" s="13"/>
    </row>
    <row r="115" spans="2:31" x14ac:dyDescent="0.3">
      <c r="B115" s="41">
        <f t="shared" si="17"/>
        <v>39000</v>
      </c>
      <c r="C115" s="1">
        <f>Table1[[#This Row],[taxable wages]]</f>
        <v>39000</v>
      </c>
      <c r="D115" s="1">
        <f>Table1[[#This Row],[taxable wages]]+interest+dividends+short_term_capital_gains+long_term_capital_gains</f>
        <v>39000</v>
      </c>
      <c r="E115" s="1">
        <f>MAX(Table1[[#This Row],[earned income for EITC]:[Agi For Eitc Calc]])</f>
        <v>39000</v>
      </c>
      <c r="F115" s="1">
        <f>Table1[[#This Row],[taxable wages]]+interest+dividends+short_term_capital_gains+long_term_capital_gains-(trad_ira_contributions+MIN(student_loan_interest_cap,student_loan_interest))</f>
        <v>39000</v>
      </c>
      <c r="G115" s="1">
        <f t="shared" si="13"/>
        <v>12600</v>
      </c>
      <c r="H115" s="1">
        <f t="shared" si="14"/>
        <v>28350</v>
      </c>
      <c r="I115" s="1">
        <f>MAX(0,Table1[[#This Row],[Agi]]-Table1[[#This Row],[Exemptions]]-Table1[[#This Row],[Effective Deductions]])</f>
        <v>0</v>
      </c>
      <c r="J1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5" s="1">
        <f t="shared" si="15"/>
        <v>5000</v>
      </c>
      <c r="L115" s="1">
        <f>IF(Table1[[#This Row],[Agi]]&gt;ctc_phase_out_begins,ctc_phase_out_rate*(Table1[[#This Row],[Agi]]-ctc_phase_out_begins),0)</f>
        <v>0</v>
      </c>
      <c r="M115" s="1">
        <f>MAX(Table1[[#This Row],[Child Tax Credit]]-Table1[[#This Row],[Child Tax Credit Phase Out]],0)</f>
        <v>5000</v>
      </c>
      <c r="N115" s="1">
        <f>MAX(Table1[[#This Row],[Regular Taxes Owed]]-Table1[[#This Row],[Effective Child Tax Credit]],0)</f>
        <v>0</v>
      </c>
      <c r="O115" s="1">
        <f>MAX(MIN((Table1[[#This Row],[taxable wages]]-3000)*0.15,1000*num_kids_16_younger),0)</f>
        <v>5000</v>
      </c>
      <c r="P115" s="9">
        <f>IF(Table1[[#This Row],[Effective Child Tax Credit]]&gt;Table1[[#This Row],[Regular Taxes Owed]],Table1[[#This Row],[Additional Child Tax Credit ]]-Table1[[#This Row],[Regular Taxes Owed]],0)</f>
        <v>5000</v>
      </c>
      <c r="Q1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3055.2802109272006</v>
      </c>
      <c r="R115" s="1">
        <f>Table1[[#This Row],[Effective Additional Child Tax Credit]]+Table1[[#This Row],[Eitc]]</f>
        <v>8055.2802109272006</v>
      </c>
      <c r="S115" s="9">
        <f>Table1[[#This Row],[Regular Taxes Owed - Effective Child Tax Credit]]-Table1[[#This Row],[Total Credits]]</f>
        <v>-8055.2802109272006</v>
      </c>
      <c r="T115" s="9">
        <f>Table1[[#This Row],[taxable wages]]+interest+dividends+short_term_capital_gains+long_term_capital_gains-(charitable_donations+mortgage_interest)</f>
        <v>39000</v>
      </c>
      <c r="U115" s="9">
        <f>MAX(amt_exemption-amt_exemption_phase_out_rate*MAX(Table1[[#This Row],[taxable wages]]-amt_phase_out_begins,0),0)</f>
        <v>83800</v>
      </c>
      <c r="V1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5" s="1">
        <f>IF(AND(Table1[[#This Row],[AMT Taxes]]&gt;Table1[[#This Row],[Regular Taxes Owed]],Table1[[#This Row],[AMT Taxes]]&gt;0),Table1[[#This Row],[AMT Taxes]]-Table1[[#This Row],[Regular Taxes Owed]],0)</f>
        <v>0</v>
      </c>
      <c r="X115" s="9">
        <f>Table1[[#This Row],[Extra Taxes From Amt]]+Table1[[#This Row],[Federal Taxes Owed (No AMT)]]</f>
        <v>-8055.2802109272006</v>
      </c>
      <c r="Y115" s="9">
        <f>IF(Table1[[#This Row],[taxable wages]]&gt;obamacare_surcharge_amount,obamacare_surcharge_percent*(Table1[[#This Row],[taxable wages]]-obamacare_surcharge_amount),0)</f>
        <v>0</v>
      </c>
      <c r="Z115" s="9">
        <f>Table1[[#This Row],[Federal Taxes Owed (Includes AMT)]]+Table1[[#This Row],[Obamacare surcharge premium]]</f>
        <v>-8055.2802109272006</v>
      </c>
      <c r="AA115" s="9">
        <f>Table1[[#This Row],[taxable wages]]-Table1[[#This Row],[Federal Taxes Owed2]]</f>
        <v>47055.280210927202</v>
      </c>
      <c r="AB115" s="51">
        <f t="shared" si="16"/>
        <v>0.21059762706899166</v>
      </c>
      <c r="AC115" s="41"/>
      <c r="AD115" s="13"/>
      <c r="AE115" s="13"/>
    </row>
    <row r="116" spans="2:31" x14ac:dyDescent="0.3">
      <c r="B116" s="41">
        <f t="shared" si="17"/>
        <v>39500</v>
      </c>
      <c r="C116" s="1">
        <f>Table1[[#This Row],[taxable wages]]</f>
        <v>39500</v>
      </c>
      <c r="D116" s="1">
        <f>Table1[[#This Row],[taxable wages]]+interest+dividends+short_term_capital_gains+long_term_capital_gains</f>
        <v>39500</v>
      </c>
      <c r="E116" s="1">
        <f>MAX(Table1[[#This Row],[earned income for EITC]:[Agi For Eitc Calc]])</f>
        <v>39500</v>
      </c>
      <c r="F116" s="1">
        <f>Table1[[#This Row],[taxable wages]]+interest+dividends+short_term_capital_gains+long_term_capital_gains-(trad_ira_contributions+MIN(student_loan_interest_cap,student_loan_interest))</f>
        <v>39500</v>
      </c>
      <c r="G116" s="1">
        <f t="shared" si="13"/>
        <v>12600</v>
      </c>
      <c r="H116" s="1">
        <f t="shared" si="14"/>
        <v>28350</v>
      </c>
      <c r="I116" s="1">
        <f>MAX(0,Table1[[#This Row],[Agi]]-Table1[[#This Row],[Exemptions]]-Table1[[#This Row],[Effective Deductions]])</f>
        <v>0</v>
      </c>
      <c r="J1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6" s="1">
        <f t="shared" si="15"/>
        <v>5000</v>
      </c>
      <c r="L116" s="1">
        <f>IF(Table1[[#This Row],[Agi]]&gt;ctc_phase_out_begins,ctc_phase_out_rate*(Table1[[#This Row],[Agi]]-ctc_phase_out_begins),0)</f>
        <v>0</v>
      </c>
      <c r="M116" s="1">
        <f>MAX(Table1[[#This Row],[Child Tax Credit]]-Table1[[#This Row],[Child Tax Credit Phase Out]],0)</f>
        <v>5000</v>
      </c>
      <c r="N116" s="1">
        <f>MAX(Table1[[#This Row],[Regular Taxes Owed]]-Table1[[#This Row],[Effective Child Tax Credit]],0)</f>
        <v>0</v>
      </c>
      <c r="O116" s="1">
        <f>MAX(MIN((Table1[[#This Row],[taxable wages]]-3000)*0.15,1000*num_kids_16_younger),0)</f>
        <v>5000</v>
      </c>
      <c r="P116" s="9">
        <f>IF(Table1[[#This Row],[Effective Child Tax Credit]]&gt;Table1[[#This Row],[Regular Taxes Owed]],Table1[[#This Row],[Additional Child Tax Credit ]]-Table1[[#This Row],[Regular Taxes Owed]],0)</f>
        <v>5000</v>
      </c>
      <c r="Q1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2949.9813973927053</v>
      </c>
      <c r="R116" s="1">
        <f>Table1[[#This Row],[Effective Additional Child Tax Credit]]+Table1[[#This Row],[Eitc]]</f>
        <v>7949.9813973927048</v>
      </c>
      <c r="S116" s="9">
        <f>Table1[[#This Row],[Regular Taxes Owed - Effective Child Tax Credit]]-Table1[[#This Row],[Total Credits]]</f>
        <v>-7949.9813973927048</v>
      </c>
      <c r="T116" s="9">
        <f>Table1[[#This Row],[taxable wages]]+interest+dividends+short_term_capital_gains+long_term_capital_gains-(charitable_donations+mortgage_interest)</f>
        <v>39500</v>
      </c>
      <c r="U116" s="9">
        <f>MAX(amt_exemption-amt_exemption_phase_out_rate*MAX(Table1[[#This Row],[taxable wages]]-amt_phase_out_begins,0),0)</f>
        <v>83800</v>
      </c>
      <c r="V1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6" s="1">
        <f>IF(AND(Table1[[#This Row],[AMT Taxes]]&gt;Table1[[#This Row],[Regular Taxes Owed]],Table1[[#This Row],[AMT Taxes]]&gt;0),Table1[[#This Row],[AMT Taxes]]-Table1[[#This Row],[Regular Taxes Owed]],0)</f>
        <v>0</v>
      </c>
      <c r="X116" s="9">
        <f>Table1[[#This Row],[Extra Taxes From Amt]]+Table1[[#This Row],[Federal Taxes Owed (No AMT)]]</f>
        <v>-7949.9813973927048</v>
      </c>
      <c r="Y116" s="9">
        <f>IF(Table1[[#This Row],[taxable wages]]&gt;obamacare_surcharge_amount,obamacare_surcharge_percent*(Table1[[#This Row],[taxable wages]]-obamacare_surcharge_amount),0)</f>
        <v>0</v>
      </c>
      <c r="Z116" s="9">
        <f>Table1[[#This Row],[Federal Taxes Owed (Includes AMT)]]+Table1[[#This Row],[Obamacare surcharge premium]]</f>
        <v>-7949.9813973927048</v>
      </c>
      <c r="AA116" s="9">
        <f>Table1[[#This Row],[taxable wages]]-Table1[[#This Row],[Federal Taxes Owed2]]</f>
        <v>47449.981397392708</v>
      </c>
      <c r="AB116" s="51">
        <f t="shared" si="16"/>
        <v>0.21059762706899166</v>
      </c>
      <c r="AC116" s="41"/>
      <c r="AD116" s="13"/>
      <c r="AE116" s="13"/>
    </row>
    <row r="117" spans="2:31" x14ac:dyDescent="0.3">
      <c r="B117" s="41">
        <f t="shared" si="17"/>
        <v>40000</v>
      </c>
      <c r="C117" s="1">
        <f>Table1[[#This Row],[taxable wages]]</f>
        <v>40000</v>
      </c>
      <c r="D117" s="1">
        <f>Table1[[#This Row],[taxable wages]]+interest+dividends+short_term_capital_gains+long_term_capital_gains</f>
        <v>40000</v>
      </c>
      <c r="E117" s="1">
        <f>MAX(Table1[[#This Row],[earned income for EITC]:[Agi For Eitc Calc]])</f>
        <v>40000</v>
      </c>
      <c r="F117" s="1">
        <f>Table1[[#This Row],[taxable wages]]+interest+dividends+short_term_capital_gains+long_term_capital_gains-(trad_ira_contributions+MIN(student_loan_interest_cap,student_loan_interest))</f>
        <v>40000</v>
      </c>
      <c r="G117" s="1">
        <f t="shared" si="13"/>
        <v>12600</v>
      </c>
      <c r="H117" s="1">
        <f t="shared" si="14"/>
        <v>28350</v>
      </c>
      <c r="I117" s="1">
        <f>MAX(0,Table1[[#This Row],[Agi]]-Table1[[#This Row],[Exemptions]]-Table1[[#This Row],[Effective Deductions]])</f>
        <v>0</v>
      </c>
      <c r="J1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7" s="1">
        <f t="shared" si="15"/>
        <v>5000</v>
      </c>
      <c r="L117" s="1">
        <f>IF(Table1[[#This Row],[Agi]]&gt;ctc_phase_out_begins,ctc_phase_out_rate*(Table1[[#This Row],[Agi]]-ctc_phase_out_begins),0)</f>
        <v>0</v>
      </c>
      <c r="M117" s="1">
        <f>MAX(Table1[[#This Row],[Child Tax Credit]]-Table1[[#This Row],[Child Tax Credit Phase Out]],0)</f>
        <v>5000</v>
      </c>
      <c r="N117" s="1">
        <f>MAX(Table1[[#This Row],[Regular Taxes Owed]]-Table1[[#This Row],[Effective Child Tax Credit]],0)</f>
        <v>0</v>
      </c>
      <c r="O117" s="1">
        <f>MAX(MIN((Table1[[#This Row],[taxable wages]]-3000)*0.15,1000*num_kids_16_younger),0)</f>
        <v>5000</v>
      </c>
      <c r="P117" s="9">
        <f>IF(Table1[[#This Row],[Effective Child Tax Credit]]&gt;Table1[[#This Row],[Regular Taxes Owed]],Table1[[#This Row],[Additional Child Tax Credit ]]-Table1[[#This Row],[Regular Taxes Owed]],0)</f>
        <v>5000</v>
      </c>
      <c r="Q1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2844.6825838582095</v>
      </c>
      <c r="R117" s="1">
        <f>Table1[[#This Row],[Effective Additional Child Tax Credit]]+Table1[[#This Row],[Eitc]]</f>
        <v>7844.6825838582099</v>
      </c>
      <c r="S117" s="9">
        <f>Table1[[#This Row],[Regular Taxes Owed - Effective Child Tax Credit]]-Table1[[#This Row],[Total Credits]]</f>
        <v>-7844.6825838582099</v>
      </c>
      <c r="T117" s="9">
        <f>Table1[[#This Row],[taxable wages]]+interest+dividends+short_term_capital_gains+long_term_capital_gains-(charitable_donations+mortgage_interest)</f>
        <v>40000</v>
      </c>
      <c r="U117" s="9">
        <f>MAX(amt_exemption-amt_exemption_phase_out_rate*MAX(Table1[[#This Row],[taxable wages]]-amt_phase_out_begins,0),0)</f>
        <v>83800</v>
      </c>
      <c r="V1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7" s="1">
        <f>IF(AND(Table1[[#This Row],[AMT Taxes]]&gt;Table1[[#This Row],[Regular Taxes Owed]],Table1[[#This Row],[AMT Taxes]]&gt;0),Table1[[#This Row],[AMT Taxes]]-Table1[[#This Row],[Regular Taxes Owed]],0)</f>
        <v>0</v>
      </c>
      <c r="X117" s="9">
        <f>Table1[[#This Row],[Extra Taxes From Amt]]+Table1[[#This Row],[Federal Taxes Owed (No AMT)]]</f>
        <v>-7844.6825838582099</v>
      </c>
      <c r="Y117" s="9">
        <f>IF(Table1[[#This Row],[taxable wages]]&gt;obamacare_surcharge_amount,obamacare_surcharge_percent*(Table1[[#This Row],[taxable wages]]-obamacare_surcharge_amount),0)</f>
        <v>0</v>
      </c>
      <c r="Z117" s="9">
        <f>Table1[[#This Row],[Federal Taxes Owed (Includes AMT)]]+Table1[[#This Row],[Obamacare surcharge premium]]</f>
        <v>-7844.6825838582099</v>
      </c>
      <c r="AA117" s="9">
        <f>Table1[[#This Row],[taxable wages]]-Table1[[#This Row],[Federal Taxes Owed2]]</f>
        <v>47844.682583858208</v>
      </c>
      <c r="AB117" s="51">
        <f t="shared" si="16"/>
        <v>0.21059762706898982</v>
      </c>
      <c r="AC117" s="41"/>
      <c r="AD117" s="13"/>
      <c r="AE117" s="13"/>
    </row>
    <row r="118" spans="2:31" x14ac:dyDescent="0.3">
      <c r="B118" s="41">
        <f t="shared" si="17"/>
        <v>40500</v>
      </c>
      <c r="C118" s="1">
        <f>Table1[[#This Row],[taxable wages]]</f>
        <v>40500</v>
      </c>
      <c r="D118" s="1">
        <f>Table1[[#This Row],[taxable wages]]+interest+dividends+short_term_capital_gains+long_term_capital_gains</f>
        <v>40500</v>
      </c>
      <c r="E118" s="1">
        <f>MAX(Table1[[#This Row],[earned income for EITC]:[Agi For Eitc Calc]])</f>
        <v>40500</v>
      </c>
      <c r="F118" s="1">
        <f>Table1[[#This Row],[taxable wages]]+interest+dividends+short_term_capital_gains+long_term_capital_gains-(trad_ira_contributions+MIN(student_loan_interest_cap,student_loan_interest))</f>
        <v>40500</v>
      </c>
      <c r="G118" s="1">
        <f t="shared" si="13"/>
        <v>12600</v>
      </c>
      <c r="H118" s="1">
        <f t="shared" si="14"/>
        <v>28350</v>
      </c>
      <c r="I118" s="1">
        <f>MAX(0,Table1[[#This Row],[Agi]]-Table1[[#This Row],[Exemptions]]-Table1[[#This Row],[Effective Deductions]])</f>
        <v>0</v>
      </c>
      <c r="J1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0</v>
      </c>
      <c r="K118" s="1">
        <f t="shared" si="15"/>
        <v>5000</v>
      </c>
      <c r="L118" s="1">
        <f>IF(Table1[[#This Row],[Agi]]&gt;ctc_phase_out_begins,ctc_phase_out_rate*(Table1[[#This Row],[Agi]]-ctc_phase_out_begins),0)</f>
        <v>0</v>
      </c>
      <c r="M118" s="1">
        <f>MAX(Table1[[#This Row],[Child Tax Credit]]-Table1[[#This Row],[Child Tax Credit Phase Out]],0)</f>
        <v>5000</v>
      </c>
      <c r="N118" s="1">
        <f>MAX(Table1[[#This Row],[Regular Taxes Owed]]-Table1[[#This Row],[Effective Child Tax Credit]],0)</f>
        <v>0</v>
      </c>
      <c r="O118" s="1">
        <f>MAX(MIN((Table1[[#This Row],[taxable wages]]-3000)*0.15,1000*num_kids_16_younger),0)</f>
        <v>5000</v>
      </c>
      <c r="P118" s="9">
        <f>IF(Table1[[#This Row],[Effective Child Tax Credit]]&gt;Table1[[#This Row],[Regular Taxes Owed]],Table1[[#This Row],[Additional Child Tax Credit ]]-Table1[[#This Row],[Regular Taxes Owed]],0)</f>
        <v>5000</v>
      </c>
      <c r="Q1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2739.3837703237141</v>
      </c>
      <c r="R118" s="1">
        <f>Table1[[#This Row],[Effective Additional Child Tax Credit]]+Table1[[#This Row],[Eitc]]</f>
        <v>7739.3837703237141</v>
      </c>
      <c r="S118" s="9">
        <f>Table1[[#This Row],[Regular Taxes Owed - Effective Child Tax Credit]]-Table1[[#This Row],[Total Credits]]</f>
        <v>-7739.3837703237141</v>
      </c>
      <c r="T118" s="9">
        <f>Table1[[#This Row],[taxable wages]]+interest+dividends+short_term_capital_gains+long_term_capital_gains-(charitable_donations+mortgage_interest)</f>
        <v>40500</v>
      </c>
      <c r="U118" s="9">
        <f>MAX(amt_exemption-amt_exemption_phase_out_rate*MAX(Table1[[#This Row],[taxable wages]]-amt_phase_out_begins,0),0)</f>
        <v>83800</v>
      </c>
      <c r="V1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8" s="1">
        <f>IF(AND(Table1[[#This Row],[AMT Taxes]]&gt;Table1[[#This Row],[Regular Taxes Owed]],Table1[[#This Row],[AMT Taxes]]&gt;0),Table1[[#This Row],[AMT Taxes]]-Table1[[#This Row],[Regular Taxes Owed]],0)</f>
        <v>0</v>
      </c>
      <c r="X118" s="9">
        <f>Table1[[#This Row],[Extra Taxes From Amt]]+Table1[[#This Row],[Federal Taxes Owed (No AMT)]]</f>
        <v>-7739.3837703237141</v>
      </c>
      <c r="Y118" s="9">
        <f>IF(Table1[[#This Row],[taxable wages]]&gt;obamacare_surcharge_amount,obamacare_surcharge_percent*(Table1[[#This Row],[taxable wages]]-obamacare_surcharge_amount),0)</f>
        <v>0</v>
      </c>
      <c r="Z118" s="9">
        <f>Table1[[#This Row],[Federal Taxes Owed (Includes AMT)]]+Table1[[#This Row],[Obamacare surcharge premium]]</f>
        <v>-7739.3837703237141</v>
      </c>
      <c r="AA118" s="9">
        <f>Table1[[#This Row],[taxable wages]]-Table1[[#This Row],[Federal Taxes Owed2]]</f>
        <v>48239.383770323715</v>
      </c>
      <c r="AB118" s="51">
        <f t="shared" si="16"/>
        <v>0.21059762706899166</v>
      </c>
      <c r="AC118" s="41"/>
      <c r="AD118" s="13"/>
      <c r="AE118" s="13"/>
    </row>
    <row r="119" spans="2:31" x14ac:dyDescent="0.3">
      <c r="B119" s="41">
        <f t="shared" si="17"/>
        <v>41000</v>
      </c>
      <c r="C119" s="1">
        <f>Table1[[#This Row],[taxable wages]]</f>
        <v>41000</v>
      </c>
      <c r="D119" s="1">
        <f>Table1[[#This Row],[taxable wages]]+interest+dividends+short_term_capital_gains+long_term_capital_gains</f>
        <v>41000</v>
      </c>
      <c r="E119" s="1">
        <f>MAX(Table1[[#This Row],[earned income for EITC]:[Agi For Eitc Calc]])</f>
        <v>41000</v>
      </c>
      <c r="F119" s="1">
        <f>Table1[[#This Row],[taxable wages]]+interest+dividends+short_term_capital_gains+long_term_capital_gains-(trad_ira_contributions+MIN(student_loan_interest_cap,student_loan_interest))</f>
        <v>41000</v>
      </c>
      <c r="G119" s="1">
        <f t="shared" si="13"/>
        <v>12600</v>
      </c>
      <c r="H119" s="1">
        <f t="shared" si="14"/>
        <v>28350</v>
      </c>
      <c r="I119" s="1">
        <f>MAX(0,Table1[[#This Row],[Agi]]-Table1[[#This Row],[Exemptions]]-Table1[[#This Row],[Effective Deductions]])</f>
        <v>50</v>
      </c>
      <c r="J1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</v>
      </c>
      <c r="K119" s="1">
        <f t="shared" si="15"/>
        <v>5000</v>
      </c>
      <c r="L119" s="1">
        <f>IF(Table1[[#This Row],[Agi]]&gt;ctc_phase_out_begins,ctc_phase_out_rate*(Table1[[#This Row],[Agi]]-ctc_phase_out_begins),0)</f>
        <v>0</v>
      </c>
      <c r="M119" s="1">
        <f>MAX(Table1[[#This Row],[Child Tax Credit]]-Table1[[#This Row],[Child Tax Credit Phase Out]],0)</f>
        <v>5000</v>
      </c>
      <c r="N119" s="1">
        <f>MAX(Table1[[#This Row],[Regular Taxes Owed]]-Table1[[#This Row],[Effective Child Tax Credit]],0)</f>
        <v>0</v>
      </c>
      <c r="O119" s="1">
        <f>MAX(MIN((Table1[[#This Row],[taxable wages]]-3000)*0.15,1000*num_kids_16_younger),0)</f>
        <v>5000</v>
      </c>
      <c r="P119" s="9">
        <f>IF(Table1[[#This Row],[Effective Child Tax Credit]]&gt;Table1[[#This Row],[Regular Taxes Owed]],Table1[[#This Row],[Additional Child Tax Credit ]]-Table1[[#This Row],[Regular Taxes Owed]],0)</f>
        <v>4995</v>
      </c>
      <c r="Q1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2634.0849567892187</v>
      </c>
      <c r="R119" s="1">
        <f>Table1[[#This Row],[Effective Additional Child Tax Credit]]+Table1[[#This Row],[Eitc]]</f>
        <v>7629.0849567892183</v>
      </c>
      <c r="S119" s="9">
        <f>Table1[[#This Row],[Regular Taxes Owed - Effective Child Tax Credit]]-Table1[[#This Row],[Total Credits]]</f>
        <v>-7629.0849567892183</v>
      </c>
      <c r="T119" s="9">
        <f>Table1[[#This Row],[taxable wages]]+interest+dividends+short_term_capital_gains+long_term_capital_gains-(charitable_donations+mortgage_interest)</f>
        <v>41000</v>
      </c>
      <c r="U119" s="9">
        <f>MAX(amt_exemption-amt_exemption_phase_out_rate*MAX(Table1[[#This Row],[taxable wages]]-amt_phase_out_begins,0),0)</f>
        <v>83800</v>
      </c>
      <c r="V1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19" s="1">
        <f>IF(AND(Table1[[#This Row],[AMT Taxes]]&gt;Table1[[#This Row],[Regular Taxes Owed]],Table1[[#This Row],[AMT Taxes]]&gt;0),Table1[[#This Row],[AMT Taxes]]-Table1[[#This Row],[Regular Taxes Owed]],0)</f>
        <v>0</v>
      </c>
      <c r="X119" s="9">
        <f>Table1[[#This Row],[Extra Taxes From Amt]]+Table1[[#This Row],[Federal Taxes Owed (No AMT)]]</f>
        <v>-7629.0849567892183</v>
      </c>
      <c r="Y119" s="9">
        <f>IF(Table1[[#This Row],[taxable wages]]&gt;obamacare_surcharge_amount,obamacare_surcharge_percent*(Table1[[#This Row],[taxable wages]]-obamacare_surcharge_amount),0)</f>
        <v>0</v>
      </c>
      <c r="Z119" s="9">
        <f>Table1[[#This Row],[Federal Taxes Owed (Includes AMT)]]+Table1[[#This Row],[Obamacare surcharge premium]]</f>
        <v>-7629.0849567892183</v>
      </c>
      <c r="AA119" s="9">
        <f>Table1[[#This Row],[taxable wages]]-Table1[[#This Row],[Federal Taxes Owed2]]</f>
        <v>48629.084956789215</v>
      </c>
      <c r="AB119" s="51">
        <f t="shared" si="16"/>
        <v>0.22059762706899164</v>
      </c>
      <c r="AC119" s="41"/>
      <c r="AD119" s="13"/>
      <c r="AE119" s="13"/>
    </row>
    <row r="120" spans="2:31" x14ac:dyDescent="0.3">
      <c r="B120" s="41">
        <f t="shared" si="17"/>
        <v>41500</v>
      </c>
      <c r="C120" s="1">
        <f>Table1[[#This Row],[taxable wages]]</f>
        <v>41500</v>
      </c>
      <c r="D120" s="1">
        <f>Table1[[#This Row],[taxable wages]]+interest+dividends+short_term_capital_gains+long_term_capital_gains</f>
        <v>41500</v>
      </c>
      <c r="E120" s="1">
        <f>MAX(Table1[[#This Row],[earned income for EITC]:[Agi For Eitc Calc]])</f>
        <v>41500</v>
      </c>
      <c r="F120" s="1">
        <f>Table1[[#This Row],[taxable wages]]+interest+dividends+short_term_capital_gains+long_term_capital_gains-(trad_ira_contributions+MIN(student_loan_interest_cap,student_loan_interest))</f>
        <v>41500</v>
      </c>
      <c r="G120" s="1">
        <f t="shared" si="13"/>
        <v>12600</v>
      </c>
      <c r="H120" s="1">
        <f t="shared" si="14"/>
        <v>28350</v>
      </c>
      <c r="I120" s="1">
        <f>MAX(0,Table1[[#This Row],[Agi]]-Table1[[#This Row],[Exemptions]]-Table1[[#This Row],[Effective Deductions]])</f>
        <v>550</v>
      </c>
      <c r="J1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</v>
      </c>
      <c r="K120" s="1">
        <f t="shared" si="15"/>
        <v>5000</v>
      </c>
      <c r="L120" s="1">
        <f>IF(Table1[[#This Row],[Agi]]&gt;ctc_phase_out_begins,ctc_phase_out_rate*(Table1[[#This Row],[Agi]]-ctc_phase_out_begins),0)</f>
        <v>0</v>
      </c>
      <c r="M120" s="1">
        <f>MAX(Table1[[#This Row],[Child Tax Credit]]-Table1[[#This Row],[Child Tax Credit Phase Out]],0)</f>
        <v>5000</v>
      </c>
      <c r="N120" s="1">
        <f>MAX(Table1[[#This Row],[Regular Taxes Owed]]-Table1[[#This Row],[Effective Child Tax Credit]],0)</f>
        <v>0</v>
      </c>
      <c r="O120" s="1">
        <f>MAX(MIN((Table1[[#This Row],[taxable wages]]-3000)*0.15,1000*num_kids_16_younger),0)</f>
        <v>5000</v>
      </c>
      <c r="P120" s="9">
        <f>IF(Table1[[#This Row],[Effective Child Tax Credit]]&gt;Table1[[#This Row],[Regular Taxes Owed]],Table1[[#This Row],[Additional Child Tax Credit ]]-Table1[[#This Row],[Regular Taxes Owed]],0)</f>
        <v>4945</v>
      </c>
      <c r="Q1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2528.7861432547234</v>
      </c>
      <c r="R120" s="1">
        <f>Table1[[#This Row],[Effective Additional Child Tax Credit]]+Table1[[#This Row],[Eitc]]</f>
        <v>7473.7861432547234</v>
      </c>
      <c r="S120" s="9">
        <f>Table1[[#This Row],[Regular Taxes Owed - Effective Child Tax Credit]]-Table1[[#This Row],[Total Credits]]</f>
        <v>-7473.7861432547234</v>
      </c>
      <c r="T120" s="9">
        <f>Table1[[#This Row],[taxable wages]]+interest+dividends+short_term_capital_gains+long_term_capital_gains-(charitable_donations+mortgage_interest)</f>
        <v>41500</v>
      </c>
      <c r="U120" s="9">
        <f>MAX(amt_exemption-amt_exemption_phase_out_rate*MAX(Table1[[#This Row],[taxable wages]]-amt_phase_out_begins,0),0)</f>
        <v>83800</v>
      </c>
      <c r="V1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0" s="1">
        <f>IF(AND(Table1[[#This Row],[AMT Taxes]]&gt;Table1[[#This Row],[Regular Taxes Owed]],Table1[[#This Row],[AMT Taxes]]&gt;0),Table1[[#This Row],[AMT Taxes]]-Table1[[#This Row],[Regular Taxes Owed]],0)</f>
        <v>0</v>
      </c>
      <c r="X120" s="9">
        <f>Table1[[#This Row],[Extra Taxes From Amt]]+Table1[[#This Row],[Federal Taxes Owed (No AMT)]]</f>
        <v>-7473.7861432547234</v>
      </c>
      <c r="Y120" s="9">
        <f>IF(Table1[[#This Row],[taxable wages]]&gt;obamacare_surcharge_amount,obamacare_surcharge_percent*(Table1[[#This Row],[taxable wages]]-obamacare_surcharge_amount),0)</f>
        <v>0</v>
      </c>
      <c r="Z120" s="9">
        <f>Table1[[#This Row],[Federal Taxes Owed (Includes AMT)]]+Table1[[#This Row],[Obamacare surcharge premium]]</f>
        <v>-7473.7861432547234</v>
      </c>
      <c r="AA120" s="9">
        <f>Table1[[#This Row],[taxable wages]]-Table1[[#This Row],[Federal Taxes Owed2]]</f>
        <v>48973.786143254722</v>
      </c>
      <c r="AB120" s="51">
        <f t="shared" si="16"/>
        <v>0.3105976270689898</v>
      </c>
      <c r="AC120" s="41"/>
      <c r="AD120" s="13"/>
      <c r="AE120" s="13"/>
    </row>
    <row r="121" spans="2:31" x14ac:dyDescent="0.3">
      <c r="B121" s="41">
        <f t="shared" si="17"/>
        <v>42000</v>
      </c>
      <c r="C121" s="1">
        <f>Table1[[#This Row],[taxable wages]]</f>
        <v>42000</v>
      </c>
      <c r="D121" s="1">
        <f>Table1[[#This Row],[taxable wages]]+interest+dividends+short_term_capital_gains+long_term_capital_gains</f>
        <v>42000</v>
      </c>
      <c r="E121" s="1">
        <f>MAX(Table1[[#This Row],[earned income for EITC]:[Agi For Eitc Calc]])</f>
        <v>42000</v>
      </c>
      <c r="F121" s="1">
        <f>Table1[[#This Row],[taxable wages]]+interest+dividends+short_term_capital_gains+long_term_capital_gains-(trad_ira_contributions+MIN(student_loan_interest_cap,student_loan_interest))</f>
        <v>42000</v>
      </c>
      <c r="G121" s="1">
        <f t="shared" si="13"/>
        <v>12600</v>
      </c>
      <c r="H121" s="1">
        <f t="shared" si="14"/>
        <v>28350</v>
      </c>
      <c r="I121" s="1">
        <f>MAX(0,Table1[[#This Row],[Agi]]-Table1[[#This Row],[Exemptions]]-Table1[[#This Row],[Effective Deductions]])</f>
        <v>1050</v>
      </c>
      <c r="J1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105</v>
      </c>
      <c r="K121" s="1">
        <f t="shared" si="15"/>
        <v>5000</v>
      </c>
      <c r="L121" s="1">
        <f>IF(Table1[[#This Row],[Agi]]&gt;ctc_phase_out_begins,ctc_phase_out_rate*(Table1[[#This Row],[Agi]]-ctc_phase_out_begins),0)</f>
        <v>0</v>
      </c>
      <c r="M121" s="1">
        <f>MAX(Table1[[#This Row],[Child Tax Credit]]-Table1[[#This Row],[Child Tax Credit Phase Out]],0)</f>
        <v>5000</v>
      </c>
      <c r="N121" s="1">
        <f>MAX(Table1[[#This Row],[Regular Taxes Owed]]-Table1[[#This Row],[Effective Child Tax Credit]],0)</f>
        <v>0</v>
      </c>
      <c r="O121" s="1">
        <f>MAX(MIN((Table1[[#This Row],[taxable wages]]-3000)*0.15,1000*num_kids_16_younger),0)</f>
        <v>5000</v>
      </c>
      <c r="P121" s="9">
        <f>IF(Table1[[#This Row],[Effective Child Tax Credit]]&gt;Table1[[#This Row],[Regular Taxes Owed]],Table1[[#This Row],[Additional Child Tax Credit ]]-Table1[[#This Row],[Regular Taxes Owed]],0)</f>
        <v>4895</v>
      </c>
      <c r="Q1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2423.487329720228</v>
      </c>
      <c r="R121" s="1">
        <f>Table1[[#This Row],[Effective Additional Child Tax Credit]]+Table1[[#This Row],[Eitc]]</f>
        <v>7318.4873297202284</v>
      </c>
      <c r="S121" s="9">
        <f>Table1[[#This Row],[Regular Taxes Owed - Effective Child Tax Credit]]-Table1[[#This Row],[Total Credits]]</f>
        <v>-7318.4873297202284</v>
      </c>
      <c r="T121" s="9">
        <f>Table1[[#This Row],[taxable wages]]+interest+dividends+short_term_capital_gains+long_term_capital_gains-(charitable_donations+mortgage_interest)</f>
        <v>42000</v>
      </c>
      <c r="U121" s="9">
        <f>MAX(amt_exemption-amt_exemption_phase_out_rate*MAX(Table1[[#This Row],[taxable wages]]-amt_phase_out_begins,0),0)</f>
        <v>83800</v>
      </c>
      <c r="V1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1" s="1">
        <f>IF(AND(Table1[[#This Row],[AMT Taxes]]&gt;Table1[[#This Row],[Regular Taxes Owed]],Table1[[#This Row],[AMT Taxes]]&gt;0),Table1[[#This Row],[AMT Taxes]]-Table1[[#This Row],[Regular Taxes Owed]],0)</f>
        <v>0</v>
      </c>
      <c r="X121" s="9">
        <f>Table1[[#This Row],[Extra Taxes From Amt]]+Table1[[#This Row],[Federal Taxes Owed (No AMT)]]</f>
        <v>-7318.4873297202284</v>
      </c>
      <c r="Y121" s="9">
        <f>IF(Table1[[#This Row],[taxable wages]]&gt;obamacare_surcharge_amount,obamacare_surcharge_percent*(Table1[[#This Row],[taxable wages]]-obamacare_surcharge_amount),0)</f>
        <v>0</v>
      </c>
      <c r="Z121" s="9">
        <f>Table1[[#This Row],[Federal Taxes Owed (Includes AMT)]]+Table1[[#This Row],[Obamacare surcharge premium]]</f>
        <v>-7318.4873297202284</v>
      </c>
      <c r="AA121" s="9">
        <f>Table1[[#This Row],[taxable wages]]-Table1[[#This Row],[Federal Taxes Owed2]]</f>
        <v>49318.487329720228</v>
      </c>
      <c r="AB121" s="51">
        <f t="shared" si="16"/>
        <v>0.3105976270689898</v>
      </c>
      <c r="AC121" s="41"/>
      <c r="AD121" s="13"/>
      <c r="AE121" s="13"/>
    </row>
    <row r="122" spans="2:31" x14ac:dyDescent="0.3">
      <c r="B122" s="41">
        <f t="shared" si="17"/>
        <v>42500</v>
      </c>
      <c r="C122" s="1">
        <f>Table1[[#This Row],[taxable wages]]</f>
        <v>42500</v>
      </c>
      <c r="D122" s="1">
        <f>Table1[[#This Row],[taxable wages]]+interest+dividends+short_term_capital_gains+long_term_capital_gains</f>
        <v>42500</v>
      </c>
      <c r="E122" s="1">
        <f>MAX(Table1[[#This Row],[earned income for EITC]:[Agi For Eitc Calc]])</f>
        <v>42500</v>
      </c>
      <c r="F122" s="1">
        <f>Table1[[#This Row],[taxable wages]]+interest+dividends+short_term_capital_gains+long_term_capital_gains-(trad_ira_contributions+MIN(student_loan_interest_cap,student_loan_interest))</f>
        <v>42500</v>
      </c>
      <c r="G122" s="1">
        <f t="shared" si="13"/>
        <v>12600</v>
      </c>
      <c r="H122" s="1">
        <f t="shared" si="14"/>
        <v>28350</v>
      </c>
      <c r="I122" s="1">
        <f>MAX(0,Table1[[#This Row],[Agi]]-Table1[[#This Row],[Exemptions]]-Table1[[#This Row],[Effective Deductions]])</f>
        <v>1550</v>
      </c>
      <c r="J1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155</v>
      </c>
      <c r="K122" s="1">
        <f t="shared" si="15"/>
        <v>5000</v>
      </c>
      <c r="L122" s="1">
        <f>IF(Table1[[#This Row],[Agi]]&gt;ctc_phase_out_begins,ctc_phase_out_rate*(Table1[[#This Row],[Agi]]-ctc_phase_out_begins),0)</f>
        <v>0</v>
      </c>
      <c r="M122" s="1">
        <f>MAX(Table1[[#This Row],[Child Tax Credit]]-Table1[[#This Row],[Child Tax Credit Phase Out]],0)</f>
        <v>5000</v>
      </c>
      <c r="N122" s="1">
        <f>MAX(Table1[[#This Row],[Regular Taxes Owed]]-Table1[[#This Row],[Effective Child Tax Credit]],0)</f>
        <v>0</v>
      </c>
      <c r="O122" s="1">
        <f>MAX(MIN((Table1[[#This Row],[taxable wages]]-3000)*0.15,1000*num_kids_16_younger),0)</f>
        <v>5000</v>
      </c>
      <c r="P122" s="9">
        <f>IF(Table1[[#This Row],[Effective Child Tax Credit]]&gt;Table1[[#This Row],[Regular Taxes Owed]],Table1[[#This Row],[Additional Child Tax Credit ]]-Table1[[#This Row],[Regular Taxes Owed]],0)</f>
        <v>4845</v>
      </c>
      <c r="Q1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2318.1885161857326</v>
      </c>
      <c r="R122" s="1">
        <f>Table1[[#This Row],[Effective Additional Child Tax Credit]]+Table1[[#This Row],[Eitc]]</f>
        <v>7163.1885161857326</v>
      </c>
      <c r="S122" s="9">
        <f>Table1[[#This Row],[Regular Taxes Owed - Effective Child Tax Credit]]-Table1[[#This Row],[Total Credits]]</f>
        <v>-7163.1885161857326</v>
      </c>
      <c r="T122" s="9">
        <f>Table1[[#This Row],[taxable wages]]+interest+dividends+short_term_capital_gains+long_term_capital_gains-(charitable_donations+mortgage_interest)</f>
        <v>42500</v>
      </c>
      <c r="U122" s="9">
        <f>MAX(amt_exemption-amt_exemption_phase_out_rate*MAX(Table1[[#This Row],[taxable wages]]-amt_phase_out_begins,0),0)</f>
        <v>83800</v>
      </c>
      <c r="V1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2" s="1">
        <f>IF(AND(Table1[[#This Row],[AMT Taxes]]&gt;Table1[[#This Row],[Regular Taxes Owed]],Table1[[#This Row],[AMT Taxes]]&gt;0),Table1[[#This Row],[AMT Taxes]]-Table1[[#This Row],[Regular Taxes Owed]],0)</f>
        <v>0</v>
      </c>
      <c r="X122" s="9">
        <f>Table1[[#This Row],[Extra Taxes From Amt]]+Table1[[#This Row],[Federal Taxes Owed (No AMT)]]</f>
        <v>-7163.1885161857326</v>
      </c>
      <c r="Y122" s="9">
        <f>IF(Table1[[#This Row],[taxable wages]]&gt;obamacare_surcharge_amount,obamacare_surcharge_percent*(Table1[[#This Row],[taxable wages]]-obamacare_surcharge_amount),0)</f>
        <v>0</v>
      </c>
      <c r="Z122" s="9">
        <f>Table1[[#This Row],[Federal Taxes Owed (Includes AMT)]]+Table1[[#This Row],[Obamacare surcharge premium]]</f>
        <v>-7163.1885161857326</v>
      </c>
      <c r="AA122" s="9">
        <f>Table1[[#This Row],[taxable wages]]-Table1[[#This Row],[Federal Taxes Owed2]]</f>
        <v>49663.188516185735</v>
      </c>
      <c r="AB122" s="51">
        <f t="shared" si="16"/>
        <v>0.31059762706899163</v>
      </c>
      <c r="AC122" s="41"/>
      <c r="AD122" s="13"/>
      <c r="AE122" s="13"/>
    </row>
    <row r="123" spans="2:31" x14ac:dyDescent="0.3">
      <c r="B123" s="41">
        <f t="shared" si="17"/>
        <v>43000</v>
      </c>
      <c r="C123" s="1">
        <f>Table1[[#This Row],[taxable wages]]</f>
        <v>43000</v>
      </c>
      <c r="D123" s="1">
        <f>Table1[[#This Row],[taxable wages]]+interest+dividends+short_term_capital_gains+long_term_capital_gains</f>
        <v>43000</v>
      </c>
      <c r="E123" s="1">
        <f>MAX(Table1[[#This Row],[earned income for EITC]:[Agi For Eitc Calc]])</f>
        <v>43000</v>
      </c>
      <c r="F123" s="1">
        <f>Table1[[#This Row],[taxable wages]]+interest+dividends+short_term_capital_gains+long_term_capital_gains-(trad_ira_contributions+MIN(student_loan_interest_cap,student_loan_interest))</f>
        <v>43000</v>
      </c>
      <c r="G123" s="1">
        <f t="shared" si="13"/>
        <v>12600</v>
      </c>
      <c r="H123" s="1">
        <f t="shared" si="14"/>
        <v>28350</v>
      </c>
      <c r="I123" s="1">
        <f>MAX(0,Table1[[#This Row],[Agi]]-Table1[[#This Row],[Exemptions]]-Table1[[#This Row],[Effective Deductions]])</f>
        <v>2050</v>
      </c>
      <c r="J1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205</v>
      </c>
      <c r="K123" s="1">
        <f t="shared" si="15"/>
        <v>5000</v>
      </c>
      <c r="L123" s="1">
        <f>IF(Table1[[#This Row],[Agi]]&gt;ctc_phase_out_begins,ctc_phase_out_rate*(Table1[[#This Row],[Agi]]-ctc_phase_out_begins),0)</f>
        <v>0</v>
      </c>
      <c r="M123" s="1">
        <f>MAX(Table1[[#This Row],[Child Tax Credit]]-Table1[[#This Row],[Child Tax Credit Phase Out]],0)</f>
        <v>5000</v>
      </c>
      <c r="N123" s="1">
        <f>MAX(Table1[[#This Row],[Regular Taxes Owed]]-Table1[[#This Row],[Effective Child Tax Credit]],0)</f>
        <v>0</v>
      </c>
      <c r="O123" s="1">
        <f>MAX(MIN((Table1[[#This Row],[taxable wages]]-3000)*0.15,1000*num_kids_16_younger),0)</f>
        <v>5000</v>
      </c>
      <c r="P123" s="9">
        <f>IF(Table1[[#This Row],[Effective Child Tax Credit]]&gt;Table1[[#This Row],[Regular Taxes Owed]],Table1[[#This Row],[Additional Child Tax Credit ]]-Table1[[#This Row],[Regular Taxes Owed]],0)</f>
        <v>4795</v>
      </c>
      <c r="Q1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2212.8897026512373</v>
      </c>
      <c r="R123" s="1">
        <f>Table1[[#This Row],[Effective Additional Child Tax Credit]]+Table1[[#This Row],[Eitc]]</f>
        <v>7007.8897026512368</v>
      </c>
      <c r="S123" s="9">
        <f>Table1[[#This Row],[Regular Taxes Owed - Effective Child Tax Credit]]-Table1[[#This Row],[Total Credits]]</f>
        <v>-7007.8897026512368</v>
      </c>
      <c r="T123" s="9">
        <f>Table1[[#This Row],[taxable wages]]+interest+dividends+short_term_capital_gains+long_term_capital_gains-(charitable_donations+mortgage_interest)</f>
        <v>43000</v>
      </c>
      <c r="U123" s="9">
        <f>MAX(amt_exemption-amt_exemption_phase_out_rate*MAX(Table1[[#This Row],[taxable wages]]-amt_phase_out_begins,0),0)</f>
        <v>83800</v>
      </c>
      <c r="V1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3" s="1">
        <f>IF(AND(Table1[[#This Row],[AMT Taxes]]&gt;Table1[[#This Row],[Regular Taxes Owed]],Table1[[#This Row],[AMT Taxes]]&gt;0),Table1[[#This Row],[AMT Taxes]]-Table1[[#This Row],[Regular Taxes Owed]],0)</f>
        <v>0</v>
      </c>
      <c r="X123" s="9">
        <f>Table1[[#This Row],[Extra Taxes From Amt]]+Table1[[#This Row],[Federal Taxes Owed (No AMT)]]</f>
        <v>-7007.8897026512368</v>
      </c>
      <c r="Y123" s="9">
        <f>IF(Table1[[#This Row],[taxable wages]]&gt;obamacare_surcharge_amount,obamacare_surcharge_percent*(Table1[[#This Row],[taxable wages]]-obamacare_surcharge_amount),0)</f>
        <v>0</v>
      </c>
      <c r="Z123" s="9">
        <f>Table1[[#This Row],[Federal Taxes Owed (Includes AMT)]]+Table1[[#This Row],[Obamacare surcharge premium]]</f>
        <v>-7007.8897026512368</v>
      </c>
      <c r="AA123" s="9">
        <f>Table1[[#This Row],[taxable wages]]-Table1[[#This Row],[Federal Taxes Owed2]]</f>
        <v>50007.889702651235</v>
      </c>
      <c r="AB123" s="51">
        <f t="shared" si="16"/>
        <v>0.31059762706899163</v>
      </c>
      <c r="AC123" s="41"/>
      <c r="AD123" s="13"/>
      <c r="AE123" s="13"/>
    </row>
    <row r="124" spans="2:31" x14ac:dyDescent="0.3">
      <c r="B124" s="41">
        <f t="shared" si="17"/>
        <v>43500</v>
      </c>
      <c r="C124" s="1">
        <f>Table1[[#This Row],[taxable wages]]</f>
        <v>43500</v>
      </c>
      <c r="D124" s="1">
        <f>Table1[[#This Row],[taxable wages]]+interest+dividends+short_term_capital_gains+long_term_capital_gains</f>
        <v>43500</v>
      </c>
      <c r="E124" s="1">
        <f>MAX(Table1[[#This Row],[earned income for EITC]:[Agi For Eitc Calc]])</f>
        <v>43500</v>
      </c>
      <c r="F124" s="1">
        <f>Table1[[#This Row],[taxable wages]]+interest+dividends+short_term_capital_gains+long_term_capital_gains-(trad_ira_contributions+MIN(student_loan_interest_cap,student_loan_interest))</f>
        <v>43500</v>
      </c>
      <c r="G124" s="1">
        <f t="shared" si="13"/>
        <v>12600</v>
      </c>
      <c r="H124" s="1">
        <f t="shared" si="14"/>
        <v>28350</v>
      </c>
      <c r="I124" s="1">
        <f>MAX(0,Table1[[#This Row],[Agi]]-Table1[[#This Row],[Exemptions]]-Table1[[#This Row],[Effective Deductions]])</f>
        <v>2550</v>
      </c>
      <c r="J1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255</v>
      </c>
      <c r="K124" s="1">
        <f t="shared" si="15"/>
        <v>5000</v>
      </c>
      <c r="L124" s="1">
        <f>IF(Table1[[#This Row],[Agi]]&gt;ctc_phase_out_begins,ctc_phase_out_rate*(Table1[[#This Row],[Agi]]-ctc_phase_out_begins),0)</f>
        <v>0</v>
      </c>
      <c r="M124" s="1">
        <f>MAX(Table1[[#This Row],[Child Tax Credit]]-Table1[[#This Row],[Child Tax Credit Phase Out]],0)</f>
        <v>5000</v>
      </c>
      <c r="N124" s="1">
        <f>MAX(Table1[[#This Row],[Regular Taxes Owed]]-Table1[[#This Row],[Effective Child Tax Credit]],0)</f>
        <v>0</v>
      </c>
      <c r="O124" s="1">
        <f>MAX(MIN((Table1[[#This Row],[taxable wages]]-3000)*0.15,1000*num_kids_16_younger),0)</f>
        <v>5000</v>
      </c>
      <c r="P124" s="9">
        <f>IF(Table1[[#This Row],[Effective Child Tax Credit]]&gt;Table1[[#This Row],[Regular Taxes Owed]],Table1[[#This Row],[Additional Child Tax Credit ]]-Table1[[#This Row],[Regular Taxes Owed]],0)</f>
        <v>4745</v>
      </c>
      <c r="Q1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2107.5908891167419</v>
      </c>
      <c r="R124" s="1">
        <f>Table1[[#This Row],[Effective Additional Child Tax Credit]]+Table1[[#This Row],[Eitc]]</f>
        <v>6852.5908891167419</v>
      </c>
      <c r="S124" s="9">
        <f>Table1[[#This Row],[Regular Taxes Owed - Effective Child Tax Credit]]-Table1[[#This Row],[Total Credits]]</f>
        <v>-6852.5908891167419</v>
      </c>
      <c r="T124" s="9">
        <f>Table1[[#This Row],[taxable wages]]+interest+dividends+short_term_capital_gains+long_term_capital_gains-(charitable_donations+mortgage_interest)</f>
        <v>43500</v>
      </c>
      <c r="U124" s="9">
        <f>MAX(amt_exemption-amt_exemption_phase_out_rate*MAX(Table1[[#This Row],[taxable wages]]-amt_phase_out_begins,0),0)</f>
        <v>83800</v>
      </c>
      <c r="V1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4" s="1">
        <f>IF(AND(Table1[[#This Row],[AMT Taxes]]&gt;Table1[[#This Row],[Regular Taxes Owed]],Table1[[#This Row],[AMT Taxes]]&gt;0),Table1[[#This Row],[AMT Taxes]]-Table1[[#This Row],[Regular Taxes Owed]],0)</f>
        <v>0</v>
      </c>
      <c r="X124" s="9">
        <f>Table1[[#This Row],[Extra Taxes From Amt]]+Table1[[#This Row],[Federal Taxes Owed (No AMT)]]</f>
        <v>-6852.5908891167419</v>
      </c>
      <c r="Y124" s="9">
        <f>IF(Table1[[#This Row],[taxable wages]]&gt;obamacare_surcharge_amount,obamacare_surcharge_percent*(Table1[[#This Row],[taxable wages]]-obamacare_surcharge_amount),0)</f>
        <v>0</v>
      </c>
      <c r="Z124" s="9">
        <f>Table1[[#This Row],[Federal Taxes Owed (Includes AMT)]]+Table1[[#This Row],[Obamacare surcharge premium]]</f>
        <v>-6852.5908891167419</v>
      </c>
      <c r="AA124" s="9">
        <f>Table1[[#This Row],[taxable wages]]-Table1[[#This Row],[Federal Taxes Owed2]]</f>
        <v>50352.590889116742</v>
      </c>
      <c r="AB124" s="51">
        <f t="shared" si="16"/>
        <v>0.3105976270689898</v>
      </c>
      <c r="AC124" s="41"/>
      <c r="AD124" s="13"/>
      <c r="AE124" s="13"/>
    </row>
    <row r="125" spans="2:31" x14ac:dyDescent="0.3">
      <c r="B125" s="41">
        <f t="shared" si="17"/>
        <v>44000</v>
      </c>
      <c r="C125" s="1">
        <f>Table1[[#This Row],[taxable wages]]</f>
        <v>44000</v>
      </c>
      <c r="D125" s="1">
        <f>Table1[[#This Row],[taxable wages]]+interest+dividends+short_term_capital_gains+long_term_capital_gains</f>
        <v>44000</v>
      </c>
      <c r="E125" s="1">
        <f>MAX(Table1[[#This Row],[earned income for EITC]:[Agi For Eitc Calc]])</f>
        <v>44000</v>
      </c>
      <c r="F125" s="1">
        <f>Table1[[#This Row],[taxable wages]]+interest+dividends+short_term_capital_gains+long_term_capital_gains-(trad_ira_contributions+MIN(student_loan_interest_cap,student_loan_interest))</f>
        <v>44000</v>
      </c>
      <c r="G125" s="1">
        <f t="shared" si="13"/>
        <v>12600</v>
      </c>
      <c r="H125" s="1">
        <f t="shared" si="14"/>
        <v>28350</v>
      </c>
      <c r="I125" s="1">
        <f>MAX(0,Table1[[#This Row],[Agi]]-Table1[[#This Row],[Exemptions]]-Table1[[#This Row],[Effective Deductions]])</f>
        <v>3050</v>
      </c>
      <c r="J1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305</v>
      </c>
      <c r="K125" s="1">
        <f t="shared" si="15"/>
        <v>5000</v>
      </c>
      <c r="L125" s="1">
        <f>IF(Table1[[#This Row],[Agi]]&gt;ctc_phase_out_begins,ctc_phase_out_rate*(Table1[[#This Row],[Agi]]-ctc_phase_out_begins),0)</f>
        <v>0</v>
      </c>
      <c r="M125" s="1">
        <f>MAX(Table1[[#This Row],[Child Tax Credit]]-Table1[[#This Row],[Child Tax Credit Phase Out]],0)</f>
        <v>5000</v>
      </c>
      <c r="N125" s="1">
        <f>MAX(Table1[[#This Row],[Regular Taxes Owed]]-Table1[[#This Row],[Effective Child Tax Credit]],0)</f>
        <v>0</v>
      </c>
      <c r="O125" s="1">
        <f>MAX(MIN((Table1[[#This Row],[taxable wages]]-3000)*0.15,1000*num_kids_16_younger),0)</f>
        <v>5000</v>
      </c>
      <c r="P125" s="9">
        <f>IF(Table1[[#This Row],[Effective Child Tax Credit]]&gt;Table1[[#This Row],[Regular Taxes Owed]],Table1[[#This Row],[Additional Child Tax Credit ]]-Table1[[#This Row],[Regular Taxes Owed]],0)</f>
        <v>4695</v>
      </c>
      <c r="Q1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2002.2920755822461</v>
      </c>
      <c r="R125" s="1">
        <f>Table1[[#This Row],[Effective Additional Child Tax Credit]]+Table1[[#This Row],[Eitc]]</f>
        <v>6697.2920755822461</v>
      </c>
      <c r="S125" s="9">
        <f>Table1[[#This Row],[Regular Taxes Owed - Effective Child Tax Credit]]-Table1[[#This Row],[Total Credits]]</f>
        <v>-6697.2920755822461</v>
      </c>
      <c r="T125" s="9">
        <f>Table1[[#This Row],[taxable wages]]+interest+dividends+short_term_capital_gains+long_term_capital_gains-(charitable_donations+mortgage_interest)</f>
        <v>44000</v>
      </c>
      <c r="U125" s="9">
        <f>MAX(amt_exemption-amt_exemption_phase_out_rate*MAX(Table1[[#This Row],[taxable wages]]-amt_phase_out_begins,0),0)</f>
        <v>83800</v>
      </c>
      <c r="V1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5" s="1">
        <f>IF(AND(Table1[[#This Row],[AMT Taxes]]&gt;Table1[[#This Row],[Regular Taxes Owed]],Table1[[#This Row],[AMT Taxes]]&gt;0),Table1[[#This Row],[AMT Taxes]]-Table1[[#This Row],[Regular Taxes Owed]],0)</f>
        <v>0</v>
      </c>
      <c r="X125" s="9">
        <f>Table1[[#This Row],[Extra Taxes From Amt]]+Table1[[#This Row],[Federal Taxes Owed (No AMT)]]</f>
        <v>-6697.2920755822461</v>
      </c>
      <c r="Y125" s="9">
        <f>IF(Table1[[#This Row],[taxable wages]]&gt;obamacare_surcharge_amount,obamacare_surcharge_percent*(Table1[[#This Row],[taxable wages]]-obamacare_surcharge_amount),0)</f>
        <v>0</v>
      </c>
      <c r="Z125" s="9">
        <f>Table1[[#This Row],[Federal Taxes Owed (Includes AMT)]]+Table1[[#This Row],[Obamacare surcharge premium]]</f>
        <v>-6697.2920755822461</v>
      </c>
      <c r="AA125" s="9">
        <f>Table1[[#This Row],[taxable wages]]-Table1[[#This Row],[Federal Taxes Owed2]]</f>
        <v>50697.292075582249</v>
      </c>
      <c r="AB125" s="51">
        <f t="shared" si="16"/>
        <v>0.31059762706899163</v>
      </c>
      <c r="AC125" s="41"/>
      <c r="AD125" s="13"/>
      <c r="AE125" s="13"/>
    </row>
    <row r="126" spans="2:31" x14ac:dyDescent="0.3">
      <c r="B126" s="41">
        <f t="shared" si="17"/>
        <v>44500</v>
      </c>
      <c r="C126" s="1">
        <f>Table1[[#This Row],[taxable wages]]</f>
        <v>44500</v>
      </c>
      <c r="D126" s="1">
        <f>Table1[[#This Row],[taxable wages]]+interest+dividends+short_term_capital_gains+long_term_capital_gains</f>
        <v>44500</v>
      </c>
      <c r="E126" s="1">
        <f>MAX(Table1[[#This Row],[earned income for EITC]:[Agi For Eitc Calc]])</f>
        <v>44500</v>
      </c>
      <c r="F126" s="1">
        <f>Table1[[#This Row],[taxable wages]]+interest+dividends+short_term_capital_gains+long_term_capital_gains-(trad_ira_contributions+MIN(student_loan_interest_cap,student_loan_interest))</f>
        <v>44500</v>
      </c>
      <c r="G126" s="1">
        <f t="shared" si="13"/>
        <v>12600</v>
      </c>
      <c r="H126" s="1">
        <f t="shared" si="14"/>
        <v>28350</v>
      </c>
      <c r="I126" s="1">
        <f>MAX(0,Table1[[#This Row],[Agi]]-Table1[[#This Row],[Exemptions]]-Table1[[#This Row],[Effective Deductions]])</f>
        <v>3550</v>
      </c>
      <c r="J1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355</v>
      </c>
      <c r="K126" s="1">
        <f t="shared" si="15"/>
        <v>5000</v>
      </c>
      <c r="L126" s="1">
        <f>IF(Table1[[#This Row],[Agi]]&gt;ctc_phase_out_begins,ctc_phase_out_rate*(Table1[[#This Row],[Agi]]-ctc_phase_out_begins),0)</f>
        <v>0</v>
      </c>
      <c r="M126" s="1">
        <f>MAX(Table1[[#This Row],[Child Tax Credit]]-Table1[[#This Row],[Child Tax Credit Phase Out]],0)</f>
        <v>5000</v>
      </c>
      <c r="N126" s="1">
        <f>MAX(Table1[[#This Row],[Regular Taxes Owed]]-Table1[[#This Row],[Effective Child Tax Credit]],0)</f>
        <v>0</v>
      </c>
      <c r="O126" s="1">
        <f>MAX(MIN((Table1[[#This Row],[taxable wages]]-3000)*0.15,1000*num_kids_16_younger),0)</f>
        <v>5000</v>
      </c>
      <c r="P126" s="9">
        <f>IF(Table1[[#This Row],[Effective Child Tax Credit]]&gt;Table1[[#This Row],[Regular Taxes Owed]],Table1[[#This Row],[Additional Child Tax Credit ]]-Table1[[#This Row],[Regular Taxes Owed]],0)</f>
        <v>4645</v>
      </c>
      <c r="Q1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1896.9932620477512</v>
      </c>
      <c r="R126" s="1">
        <f>Table1[[#This Row],[Effective Additional Child Tax Credit]]+Table1[[#This Row],[Eitc]]</f>
        <v>6541.9932620477512</v>
      </c>
      <c r="S126" s="9">
        <f>Table1[[#This Row],[Regular Taxes Owed - Effective Child Tax Credit]]-Table1[[#This Row],[Total Credits]]</f>
        <v>-6541.9932620477512</v>
      </c>
      <c r="T126" s="9">
        <f>Table1[[#This Row],[taxable wages]]+interest+dividends+short_term_capital_gains+long_term_capital_gains-(charitable_donations+mortgage_interest)</f>
        <v>44500</v>
      </c>
      <c r="U126" s="9">
        <f>MAX(amt_exemption-amt_exemption_phase_out_rate*MAX(Table1[[#This Row],[taxable wages]]-amt_phase_out_begins,0),0)</f>
        <v>83800</v>
      </c>
      <c r="V1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6" s="1">
        <f>IF(AND(Table1[[#This Row],[AMT Taxes]]&gt;Table1[[#This Row],[Regular Taxes Owed]],Table1[[#This Row],[AMT Taxes]]&gt;0),Table1[[#This Row],[AMT Taxes]]-Table1[[#This Row],[Regular Taxes Owed]],0)</f>
        <v>0</v>
      </c>
      <c r="X126" s="9">
        <f>Table1[[#This Row],[Extra Taxes From Amt]]+Table1[[#This Row],[Federal Taxes Owed (No AMT)]]</f>
        <v>-6541.9932620477512</v>
      </c>
      <c r="Y126" s="9">
        <f>IF(Table1[[#This Row],[taxable wages]]&gt;obamacare_surcharge_amount,obamacare_surcharge_percent*(Table1[[#This Row],[taxable wages]]-obamacare_surcharge_amount),0)</f>
        <v>0</v>
      </c>
      <c r="Z126" s="9">
        <f>Table1[[#This Row],[Federal Taxes Owed (Includes AMT)]]+Table1[[#This Row],[Obamacare surcharge premium]]</f>
        <v>-6541.9932620477512</v>
      </c>
      <c r="AA126" s="9">
        <f>Table1[[#This Row],[taxable wages]]-Table1[[#This Row],[Federal Taxes Owed2]]</f>
        <v>51041.993262047748</v>
      </c>
      <c r="AB126" s="51">
        <f t="shared" si="16"/>
        <v>0.3105976270689898</v>
      </c>
      <c r="AC126" s="41"/>
      <c r="AD126" s="13"/>
      <c r="AE126" s="13"/>
    </row>
    <row r="127" spans="2:31" x14ac:dyDescent="0.3">
      <c r="B127" s="41">
        <f t="shared" si="17"/>
        <v>45000</v>
      </c>
      <c r="C127" s="1">
        <f>Table1[[#This Row],[taxable wages]]</f>
        <v>45000</v>
      </c>
      <c r="D127" s="1">
        <f>Table1[[#This Row],[taxable wages]]+interest+dividends+short_term_capital_gains+long_term_capital_gains</f>
        <v>45000</v>
      </c>
      <c r="E127" s="1">
        <f>MAX(Table1[[#This Row],[earned income for EITC]:[Agi For Eitc Calc]])</f>
        <v>45000</v>
      </c>
      <c r="F127" s="1">
        <f>Table1[[#This Row],[taxable wages]]+interest+dividends+short_term_capital_gains+long_term_capital_gains-(trad_ira_contributions+MIN(student_loan_interest_cap,student_loan_interest))</f>
        <v>45000</v>
      </c>
      <c r="G127" s="1">
        <f t="shared" si="13"/>
        <v>12600</v>
      </c>
      <c r="H127" s="1">
        <f t="shared" si="14"/>
        <v>28350</v>
      </c>
      <c r="I127" s="1">
        <f>MAX(0,Table1[[#This Row],[Agi]]-Table1[[#This Row],[Exemptions]]-Table1[[#This Row],[Effective Deductions]])</f>
        <v>4050</v>
      </c>
      <c r="J1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405</v>
      </c>
      <c r="K127" s="1">
        <f t="shared" si="15"/>
        <v>5000</v>
      </c>
      <c r="L127" s="1">
        <f>IF(Table1[[#This Row],[Agi]]&gt;ctc_phase_out_begins,ctc_phase_out_rate*(Table1[[#This Row],[Agi]]-ctc_phase_out_begins),0)</f>
        <v>0</v>
      </c>
      <c r="M127" s="1">
        <f>MAX(Table1[[#This Row],[Child Tax Credit]]-Table1[[#This Row],[Child Tax Credit Phase Out]],0)</f>
        <v>5000</v>
      </c>
      <c r="N127" s="1">
        <f>MAX(Table1[[#This Row],[Regular Taxes Owed]]-Table1[[#This Row],[Effective Child Tax Credit]],0)</f>
        <v>0</v>
      </c>
      <c r="O127" s="1">
        <f>MAX(MIN((Table1[[#This Row],[taxable wages]]-3000)*0.15,1000*num_kids_16_younger),0)</f>
        <v>5000</v>
      </c>
      <c r="P127" s="9">
        <f>IF(Table1[[#This Row],[Effective Child Tax Credit]]&gt;Table1[[#This Row],[Regular Taxes Owed]],Table1[[#This Row],[Additional Child Tax Credit ]]-Table1[[#This Row],[Regular Taxes Owed]],0)</f>
        <v>4595</v>
      </c>
      <c r="Q1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1791.6944485132553</v>
      </c>
      <c r="R127" s="1">
        <f>Table1[[#This Row],[Effective Additional Child Tax Credit]]+Table1[[#This Row],[Eitc]]</f>
        <v>6386.6944485132553</v>
      </c>
      <c r="S127" s="9">
        <f>Table1[[#This Row],[Regular Taxes Owed - Effective Child Tax Credit]]-Table1[[#This Row],[Total Credits]]</f>
        <v>-6386.6944485132553</v>
      </c>
      <c r="T127" s="9">
        <f>Table1[[#This Row],[taxable wages]]+interest+dividends+short_term_capital_gains+long_term_capital_gains-(charitable_donations+mortgage_interest)</f>
        <v>45000</v>
      </c>
      <c r="U127" s="9">
        <f>MAX(amt_exemption-amt_exemption_phase_out_rate*MAX(Table1[[#This Row],[taxable wages]]-amt_phase_out_begins,0),0)</f>
        <v>83800</v>
      </c>
      <c r="V1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7" s="1">
        <f>IF(AND(Table1[[#This Row],[AMT Taxes]]&gt;Table1[[#This Row],[Regular Taxes Owed]],Table1[[#This Row],[AMT Taxes]]&gt;0),Table1[[#This Row],[AMT Taxes]]-Table1[[#This Row],[Regular Taxes Owed]],0)</f>
        <v>0</v>
      </c>
      <c r="X127" s="9">
        <f>Table1[[#This Row],[Extra Taxes From Amt]]+Table1[[#This Row],[Federal Taxes Owed (No AMT)]]</f>
        <v>-6386.6944485132553</v>
      </c>
      <c r="Y127" s="9">
        <f>IF(Table1[[#This Row],[taxable wages]]&gt;obamacare_surcharge_amount,obamacare_surcharge_percent*(Table1[[#This Row],[taxable wages]]-obamacare_surcharge_amount),0)</f>
        <v>0</v>
      </c>
      <c r="Z127" s="9">
        <f>Table1[[#This Row],[Federal Taxes Owed (Includes AMT)]]+Table1[[#This Row],[Obamacare surcharge premium]]</f>
        <v>-6386.6944485132553</v>
      </c>
      <c r="AA127" s="9">
        <f>Table1[[#This Row],[taxable wages]]-Table1[[#This Row],[Federal Taxes Owed2]]</f>
        <v>51386.694448513255</v>
      </c>
      <c r="AB127" s="51">
        <f t="shared" si="16"/>
        <v>0.31059762706899163</v>
      </c>
      <c r="AC127" s="41"/>
      <c r="AD127" s="13"/>
      <c r="AE127" s="13"/>
    </row>
    <row r="128" spans="2:31" x14ac:dyDescent="0.3">
      <c r="B128" s="41">
        <f t="shared" si="17"/>
        <v>45500</v>
      </c>
      <c r="C128" s="1">
        <f>Table1[[#This Row],[taxable wages]]</f>
        <v>45500</v>
      </c>
      <c r="D128" s="1">
        <f>Table1[[#This Row],[taxable wages]]+interest+dividends+short_term_capital_gains+long_term_capital_gains</f>
        <v>45500</v>
      </c>
      <c r="E128" s="1">
        <f>MAX(Table1[[#This Row],[earned income for EITC]:[Agi For Eitc Calc]])</f>
        <v>45500</v>
      </c>
      <c r="F128" s="1">
        <f>Table1[[#This Row],[taxable wages]]+interest+dividends+short_term_capital_gains+long_term_capital_gains-(trad_ira_contributions+MIN(student_loan_interest_cap,student_loan_interest))</f>
        <v>45500</v>
      </c>
      <c r="G128" s="1">
        <f t="shared" si="13"/>
        <v>12600</v>
      </c>
      <c r="H128" s="1">
        <f t="shared" si="14"/>
        <v>28350</v>
      </c>
      <c r="I128" s="1">
        <f>MAX(0,Table1[[#This Row],[Agi]]-Table1[[#This Row],[Exemptions]]-Table1[[#This Row],[Effective Deductions]])</f>
        <v>4550</v>
      </c>
      <c r="J1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455</v>
      </c>
      <c r="K128" s="1">
        <f t="shared" si="15"/>
        <v>5000</v>
      </c>
      <c r="L128" s="1">
        <f>IF(Table1[[#This Row],[Agi]]&gt;ctc_phase_out_begins,ctc_phase_out_rate*(Table1[[#This Row],[Agi]]-ctc_phase_out_begins),0)</f>
        <v>0</v>
      </c>
      <c r="M128" s="1">
        <f>MAX(Table1[[#This Row],[Child Tax Credit]]-Table1[[#This Row],[Child Tax Credit Phase Out]],0)</f>
        <v>5000</v>
      </c>
      <c r="N128" s="1">
        <f>MAX(Table1[[#This Row],[Regular Taxes Owed]]-Table1[[#This Row],[Effective Child Tax Credit]],0)</f>
        <v>0</v>
      </c>
      <c r="O128" s="1">
        <f>MAX(MIN((Table1[[#This Row],[taxable wages]]-3000)*0.15,1000*num_kids_16_younger),0)</f>
        <v>5000</v>
      </c>
      <c r="P128" s="9">
        <f>IF(Table1[[#This Row],[Effective Child Tax Credit]]&gt;Table1[[#This Row],[Regular Taxes Owed]],Table1[[#This Row],[Additional Child Tax Credit ]]-Table1[[#This Row],[Regular Taxes Owed]],0)</f>
        <v>4545</v>
      </c>
      <c r="Q1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1686.3956349787604</v>
      </c>
      <c r="R128" s="1">
        <f>Table1[[#This Row],[Effective Additional Child Tax Credit]]+Table1[[#This Row],[Eitc]]</f>
        <v>6231.3956349787604</v>
      </c>
      <c r="S128" s="9">
        <f>Table1[[#This Row],[Regular Taxes Owed - Effective Child Tax Credit]]-Table1[[#This Row],[Total Credits]]</f>
        <v>-6231.3956349787604</v>
      </c>
      <c r="T128" s="9">
        <f>Table1[[#This Row],[taxable wages]]+interest+dividends+short_term_capital_gains+long_term_capital_gains-(charitable_donations+mortgage_interest)</f>
        <v>45500</v>
      </c>
      <c r="U128" s="9">
        <f>MAX(amt_exemption-amt_exemption_phase_out_rate*MAX(Table1[[#This Row],[taxable wages]]-amt_phase_out_begins,0),0)</f>
        <v>83800</v>
      </c>
      <c r="V1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8" s="1">
        <f>IF(AND(Table1[[#This Row],[AMT Taxes]]&gt;Table1[[#This Row],[Regular Taxes Owed]],Table1[[#This Row],[AMT Taxes]]&gt;0),Table1[[#This Row],[AMT Taxes]]-Table1[[#This Row],[Regular Taxes Owed]],0)</f>
        <v>0</v>
      </c>
      <c r="X128" s="9">
        <f>Table1[[#This Row],[Extra Taxes From Amt]]+Table1[[#This Row],[Federal Taxes Owed (No AMT)]]</f>
        <v>-6231.3956349787604</v>
      </c>
      <c r="Y128" s="9">
        <f>IF(Table1[[#This Row],[taxable wages]]&gt;obamacare_surcharge_amount,obamacare_surcharge_percent*(Table1[[#This Row],[taxable wages]]-obamacare_surcharge_amount),0)</f>
        <v>0</v>
      </c>
      <c r="Z128" s="9">
        <f>Table1[[#This Row],[Federal Taxes Owed (Includes AMT)]]+Table1[[#This Row],[Obamacare surcharge premium]]</f>
        <v>-6231.3956349787604</v>
      </c>
      <c r="AA128" s="9">
        <f>Table1[[#This Row],[taxable wages]]-Table1[[#This Row],[Federal Taxes Owed2]]</f>
        <v>51731.395634978762</v>
      </c>
      <c r="AB128" s="51">
        <f t="shared" si="16"/>
        <v>0.3105976270689898</v>
      </c>
      <c r="AC128" s="41"/>
      <c r="AD128" s="13"/>
      <c r="AE128" s="13"/>
    </row>
    <row r="129" spans="2:31" x14ac:dyDescent="0.3">
      <c r="B129" s="41">
        <f t="shared" si="17"/>
        <v>46000</v>
      </c>
      <c r="C129" s="1">
        <f>Table1[[#This Row],[taxable wages]]</f>
        <v>46000</v>
      </c>
      <c r="D129" s="1">
        <f>Table1[[#This Row],[taxable wages]]+interest+dividends+short_term_capital_gains+long_term_capital_gains</f>
        <v>46000</v>
      </c>
      <c r="E129" s="1">
        <f>MAX(Table1[[#This Row],[earned income for EITC]:[Agi For Eitc Calc]])</f>
        <v>46000</v>
      </c>
      <c r="F129" s="1">
        <f>Table1[[#This Row],[taxable wages]]+interest+dividends+short_term_capital_gains+long_term_capital_gains-(trad_ira_contributions+MIN(student_loan_interest_cap,student_loan_interest))</f>
        <v>46000</v>
      </c>
      <c r="G129" s="1">
        <f t="shared" si="13"/>
        <v>12600</v>
      </c>
      <c r="H129" s="1">
        <f t="shared" si="14"/>
        <v>28350</v>
      </c>
      <c r="I129" s="1">
        <f>MAX(0,Table1[[#This Row],[Agi]]-Table1[[#This Row],[Exemptions]]-Table1[[#This Row],[Effective Deductions]])</f>
        <v>5050</v>
      </c>
      <c r="J1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505</v>
      </c>
      <c r="K129" s="1">
        <f t="shared" si="15"/>
        <v>5000</v>
      </c>
      <c r="L129" s="1">
        <f>IF(Table1[[#This Row],[Agi]]&gt;ctc_phase_out_begins,ctc_phase_out_rate*(Table1[[#This Row],[Agi]]-ctc_phase_out_begins),0)</f>
        <v>0</v>
      </c>
      <c r="M129" s="1">
        <f>MAX(Table1[[#This Row],[Child Tax Credit]]-Table1[[#This Row],[Child Tax Credit Phase Out]],0)</f>
        <v>5000</v>
      </c>
      <c r="N129" s="1">
        <f>MAX(Table1[[#This Row],[Regular Taxes Owed]]-Table1[[#This Row],[Effective Child Tax Credit]],0)</f>
        <v>0</v>
      </c>
      <c r="O129" s="1">
        <f>MAX(MIN((Table1[[#This Row],[taxable wages]]-3000)*0.15,1000*num_kids_16_younger),0)</f>
        <v>5000</v>
      </c>
      <c r="P129" s="9">
        <f>IF(Table1[[#This Row],[Effective Child Tax Credit]]&gt;Table1[[#This Row],[Regular Taxes Owed]],Table1[[#This Row],[Additional Child Tax Credit ]]-Table1[[#This Row],[Regular Taxes Owed]],0)</f>
        <v>4495</v>
      </c>
      <c r="Q1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1581.0968214442646</v>
      </c>
      <c r="R129" s="1">
        <f>Table1[[#This Row],[Effective Additional Child Tax Credit]]+Table1[[#This Row],[Eitc]]</f>
        <v>6076.0968214442646</v>
      </c>
      <c r="S129" s="9">
        <f>Table1[[#This Row],[Regular Taxes Owed - Effective Child Tax Credit]]-Table1[[#This Row],[Total Credits]]</f>
        <v>-6076.0968214442646</v>
      </c>
      <c r="T129" s="9">
        <f>Table1[[#This Row],[taxable wages]]+interest+dividends+short_term_capital_gains+long_term_capital_gains-(charitable_donations+mortgage_interest)</f>
        <v>46000</v>
      </c>
      <c r="U129" s="9">
        <f>MAX(amt_exemption-amt_exemption_phase_out_rate*MAX(Table1[[#This Row],[taxable wages]]-amt_phase_out_begins,0),0)</f>
        <v>83800</v>
      </c>
      <c r="V1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29" s="1">
        <f>IF(AND(Table1[[#This Row],[AMT Taxes]]&gt;Table1[[#This Row],[Regular Taxes Owed]],Table1[[#This Row],[AMT Taxes]]&gt;0),Table1[[#This Row],[AMT Taxes]]-Table1[[#This Row],[Regular Taxes Owed]],0)</f>
        <v>0</v>
      </c>
      <c r="X129" s="9">
        <f>Table1[[#This Row],[Extra Taxes From Amt]]+Table1[[#This Row],[Federal Taxes Owed (No AMT)]]</f>
        <v>-6076.0968214442646</v>
      </c>
      <c r="Y129" s="9">
        <f>IF(Table1[[#This Row],[taxable wages]]&gt;obamacare_surcharge_amount,obamacare_surcharge_percent*(Table1[[#This Row],[taxable wages]]-obamacare_surcharge_amount),0)</f>
        <v>0</v>
      </c>
      <c r="Z129" s="9">
        <f>Table1[[#This Row],[Federal Taxes Owed (Includes AMT)]]+Table1[[#This Row],[Obamacare surcharge premium]]</f>
        <v>-6076.0968214442646</v>
      </c>
      <c r="AA129" s="9">
        <f>Table1[[#This Row],[taxable wages]]-Table1[[#This Row],[Federal Taxes Owed2]]</f>
        <v>52076.096821444262</v>
      </c>
      <c r="AB129" s="51">
        <f t="shared" si="16"/>
        <v>0.31059762706899163</v>
      </c>
      <c r="AC129" s="41"/>
      <c r="AD129" s="13"/>
      <c r="AE129" s="13"/>
    </row>
    <row r="130" spans="2:31" x14ac:dyDescent="0.3">
      <c r="B130" s="41">
        <f t="shared" si="17"/>
        <v>46500</v>
      </c>
      <c r="C130" s="1">
        <f>Table1[[#This Row],[taxable wages]]</f>
        <v>46500</v>
      </c>
      <c r="D130" s="1">
        <f>Table1[[#This Row],[taxable wages]]+interest+dividends+short_term_capital_gains+long_term_capital_gains</f>
        <v>46500</v>
      </c>
      <c r="E130" s="1">
        <f>MAX(Table1[[#This Row],[earned income for EITC]:[Agi For Eitc Calc]])</f>
        <v>46500</v>
      </c>
      <c r="F130" s="1">
        <f>Table1[[#This Row],[taxable wages]]+interest+dividends+short_term_capital_gains+long_term_capital_gains-(trad_ira_contributions+MIN(student_loan_interest_cap,student_loan_interest))</f>
        <v>46500</v>
      </c>
      <c r="G130" s="1">
        <f t="shared" si="13"/>
        <v>12600</v>
      </c>
      <c r="H130" s="1">
        <f t="shared" si="14"/>
        <v>28350</v>
      </c>
      <c r="I130" s="1">
        <f>MAX(0,Table1[[#This Row],[Agi]]-Table1[[#This Row],[Exemptions]]-Table1[[#This Row],[Effective Deductions]])</f>
        <v>5550</v>
      </c>
      <c r="J1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555</v>
      </c>
      <c r="K130" s="1">
        <f t="shared" si="15"/>
        <v>5000</v>
      </c>
      <c r="L130" s="1">
        <f>IF(Table1[[#This Row],[Agi]]&gt;ctc_phase_out_begins,ctc_phase_out_rate*(Table1[[#This Row],[Agi]]-ctc_phase_out_begins),0)</f>
        <v>0</v>
      </c>
      <c r="M130" s="1">
        <f>MAX(Table1[[#This Row],[Child Tax Credit]]-Table1[[#This Row],[Child Tax Credit Phase Out]],0)</f>
        <v>5000</v>
      </c>
      <c r="N130" s="1">
        <f>MAX(Table1[[#This Row],[Regular Taxes Owed]]-Table1[[#This Row],[Effective Child Tax Credit]],0)</f>
        <v>0</v>
      </c>
      <c r="O130" s="1">
        <f>MAX(MIN((Table1[[#This Row],[taxable wages]]-3000)*0.15,1000*num_kids_16_younger),0)</f>
        <v>5000</v>
      </c>
      <c r="P130" s="9">
        <f>IF(Table1[[#This Row],[Effective Child Tax Credit]]&gt;Table1[[#This Row],[Regular Taxes Owed]],Table1[[#This Row],[Additional Child Tax Credit ]]-Table1[[#This Row],[Regular Taxes Owed]],0)</f>
        <v>4445</v>
      </c>
      <c r="Q1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1475.7980079097697</v>
      </c>
      <c r="R130" s="1">
        <f>Table1[[#This Row],[Effective Additional Child Tax Credit]]+Table1[[#This Row],[Eitc]]</f>
        <v>5920.7980079097697</v>
      </c>
      <c r="S130" s="9">
        <f>Table1[[#This Row],[Regular Taxes Owed - Effective Child Tax Credit]]-Table1[[#This Row],[Total Credits]]</f>
        <v>-5920.7980079097697</v>
      </c>
      <c r="T130" s="9">
        <f>Table1[[#This Row],[taxable wages]]+interest+dividends+short_term_capital_gains+long_term_capital_gains-(charitable_donations+mortgage_interest)</f>
        <v>46500</v>
      </c>
      <c r="U130" s="9">
        <f>MAX(amt_exemption-amt_exemption_phase_out_rate*MAX(Table1[[#This Row],[taxable wages]]-amt_phase_out_begins,0),0)</f>
        <v>83800</v>
      </c>
      <c r="V1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0" s="1">
        <f>IF(AND(Table1[[#This Row],[AMT Taxes]]&gt;Table1[[#This Row],[Regular Taxes Owed]],Table1[[#This Row],[AMT Taxes]]&gt;0),Table1[[#This Row],[AMT Taxes]]-Table1[[#This Row],[Regular Taxes Owed]],0)</f>
        <v>0</v>
      </c>
      <c r="X130" s="9">
        <f>Table1[[#This Row],[Extra Taxes From Amt]]+Table1[[#This Row],[Federal Taxes Owed (No AMT)]]</f>
        <v>-5920.7980079097697</v>
      </c>
      <c r="Y130" s="9">
        <f>IF(Table1[[#This Row],[taxable wages]]&gt;obamacare_surcharge_amount,obamacare_surcharge_percent*(Table1[[#This Row],[taxable wages]]-obamacare_surcharge_amount),0)</f>
        <v>0</v>
      </c>
      <c r="Z130" s="9">
        <f>Table1[[#This Row],[Federal Taxes Owed (Includes AMT)]]+Table1[[#This Row],[Obamacare surcharge premium]]</f>
        <v>-5920.7980079097697</v>
      </c>
      <c r="AA130" s="9">
        <f>Table1[[#This Row],[taxable wages]]-Table1[[#This Row],[Federal Taxes Owed2]]</f>
        <v>52420.798007909769</v>
      </c>
      <c r="AB130" s="51">
        <f t="shared" si="16"/>
        <v>0.3105976270689898</v>
      </c>
      <c r="AC130" s="41"/>
      <c r="AD130" s="13"/>
      <c r="AE130" s="13"/>
    </row>
    <row r="131" spans="2:31" x14ac:dyDescent="0.3">
      <c r="B131" s="41">
        <f t="shared" si="17"/>
        <v>47000</v>
      </c>
      <c r="C131" s="1">
        <f>Table1[[#This Row],[taxable wages]]</f>
        <v>47000</v>
      </c>
      <c r="D131" s="1">
        <f>Table1[[#This Row],[taxable wages]]+interest+dividends+short_term_capital_gains+long_term_capital_gains</f>
        <v>47000</v>
      </c>
      <c r="E131" s="1">
        <f>MAX(Table1[[#This Row],[earned income for EITC]:[Agi For Eitc Calc]])</f>
        <v>47000</v>
      </c>
      <c r="F131" s="1">
        <f>Table1[[#This Row],[taxable wages]]+interest+dividends+short_term_capital_gains+long_term_capital_gains-(trad_ira_contributions+MIN(student_loan_interest_cap,student_loan_interest))</f>
        <v>47000</v>
      </c>
      <c r="G131" s="1">
        <f t="shared" si="13"/>
        <v>12600</v>
      </c>
      <c r="H131" s="1">
        <f t="shared" si="14"/>
        <v>28350</v>
      </c>
      <c r="I131" s="1">
        <f>MAX(0,Table1[[#This Row],[Agi]]-Table1[[#This Row],[Exemptions]]-Table1[[#This Row],[Effective Deductions]])</f>
        <v>6050</v>
      </c>
      <c r="J1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605</v>
      </c>
      <c r="K131" s="1">
        <f t="shared" si="15"/>
        <v>5000</v>
      </c>
      <c r="L131" s="1">
        <f>IF(Table1[[#This Row],[Agi]]&gt;ctc_phase_out_begins,ctc_phase_out_rate*(Table1[[#This Row],[Agi]]-ctc_phase_out_begins),0)</f>
        <v>0</v>
      </c>
      <c r="M131" s="1">
        <f>MAX(Table1[[#This Row],[Child Tax Credit]]-Table1[[#This Row],[Child Tax Credit Phase Out]],0)</f>
        <v>5000</v>
      </c>
      <c r="N131" s="1">
        <f>MAX(Table1[[#This Row],[Regular Taxes Owed]]-Table1[[#This Row],[Effective Child Tax Credit]],0)</f>
        <v>0</v>
      </c>
      <c r="O131" s="1">
        <f>MAX(MIN((Table1[[#This Row],[taxable wages]]-3000)*0.15,1000*num_kids_16_younger),0)</f>
        <v>5000</v>
      </c>
      <c r="P131" s="9">
        <f>IF(Table1[[#This Row],[Effective Child Tax Credit]]&gt;Table1[[#This Row],[Regular Taxes Owed]],Table1[[#This Row],[Additional Child Tax Credit ]]-Table1[[#This Row],[Regular Taxes Owed]],0)</f>
        <v>4395</v>
      </c>
      <c r="Q1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1370.4991943752739</v>
      </c>
      <c r="R131" s="1">
        <f>Table1[[#This Row],[Effective Additional Child Tax Credit]]+Table1[[#This Row],[Eitc]]</f>
        <v>5765.4991943752739</v>
      </c>
      <c r="S131" s="9">
        <f>Table1[[#This Row],[Regular Taxes Owed - Effective Child Tax Credit]]-Table1[[#This Row],[Total Credits]]</f>
        <v>-5765.4991943752739</v>
      </c>
      <c r="T131" s="9">
        <f>Table1[[#This Row],[taxable wages]]+interest+dividends+short_term_capital_gains+long_term_capital_gains-(charitable_donations+mortgage_interest)</f>
        <v>47000</v>
      </c>
      <c r="U131" s="9">
        <f>MAX(amt_exemption-amt_exemption_phase_out_rate*MAX(Table1[[#This Row],[taxable wages]]-amt_phase_out_begins,0),0)</f>
        <v>83800</v>
      </c>
      <c r="V1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1" s="1">
        <f>IF(AND(Table1[[#This Row],[AMT Taxes]]&gt;Table1[[#This Row],[Regular Taxes Owed]],Table1[[#This Row],[AMT Taxes]]&gt;0),Table1[[#This Row],[AMT Taxes]]-Table1[[#This Row],[Regular Taxes Owed]],0)</f>
        <v>0</v>
      </c>
      <c r="X131" s="9">
        <f>Table1[[#This Row],[Extra Taxes From Amt]]+Table1[[#This Row],[Federal Taxes Owed (No AMT)]]</f>
        <v>-5765.4991943752739</v>
      </c>
      <c r="Y131" s="9">
        <f>IF(Table1[[#This Row],[taxable wages]]&gt;obamacare_surcharge_amount,obamacare_surcharge_percent*(Table1[[#This Row],[taxable wages]]-obamacare_surcharge_amount),0)</f>
        <v>0</v>
      </c>
      <c r="Z131" s="9">
        <f>Table1[[#This Row],[Federal Taxes Owed (Includes AMT)]]+Table1[[#This Row],[Obamacare surcharge premium]]</f>
        <v>-5765.4991943752739</v>
      </c>
      <c r="AA131" s="9">
        <f>Table1[[#This Row],[taxable wages]]-Table1[[#This Row],[Federal Taxes Owed2]]</f>
        <v>52765.499194375276</v>
      </c>
      <c r="AB131" s="51">
        <f t="shared" si="16"/>
        <v>0.31059762706899163</v>
      </c>
      <c r="AC131" s="41"/>
      <c r="AD131" s="13"/>
      <c r="AE131" s="13"/>
    </row>
    <row r="132" spans="2:31" x14ac:dyDescent="0.3">
      <c r="B132" s="41">
        <f t="shared" si="17"/>
        <v>47500</v>
      </c>
      <c r="C132" s="1">
        <f>Table1[[#This Row],[taxable wages]]</f>
        <v>47500</v>
      </c>
      <c r="D132" s="1">
        <f>Table1[[#This Row],[taxable wages]]+interest+dividends+short_term_capital_gains+long_term_capital_gains</f>
        <v>47500</v>
      </c>
      <c r="E132" s="1">
        <f>MAX(Table1[[#This Row],[earned income for EITC]:[Agi For Eitc Calc]])</f>
        <v>47500</v>
      </c>
      <c r="F132" s="1">
        <f>Table1[[#This Row],[taxable wages]]+interest+dividends+short_term_capital_gains+long_term_capital_gains-(trad_ira_contributions+MIN(student_loan_interest_cap,student_loan_interest))</f>
        <v>47500</v>
      </c>
      <c r="G132" s="1">
        <f t="shared" si="13"/>
        <v>12600</v>
      </c>
      <c r="H132" s="1">
        <f t="shared" si="14"/>
        <v>28350</v>
      </c>
      <c r="I132" s="1">
        <f>MAX(0,Table1[[#This Row],[Agi]]-Table1[[#This Row],[Exemptions]]-Table1[[#This Row],[Effective Deductions]])</f>
        <v>6550</v>
      </c>
      <c r="J1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655</v>
      </c>
      <c r="K132" s="1">
        <f t="shared" si="15"/>
        <v>5000</v>
      </c>
      <c r="L132" s="1">
        <f>IF(Table1[[#This Row],[Agi]]&gt;ctc_phase_out_begins,ctc_phase_out_rate*(Table1[[#This Row],[Agi]]-ctc_phase_out_begins),0)</f>
        <v>0</v>
      </c>
      <c r="M132" s="1">
        <f>MAX(Table1[[#This Row],[Child Tax Credit]]-Table1[[#This Row],[Child Tax Credit Phase Out]],0)</f>
        <v>5000</v>
      </c>
      <c r="N132" s="1">
        <f>MAX(Table1[[#This Row],[Regular Taxes Owed]]-Table1[[#This Row],[Effective Child Tax Credit]],0)</f>
        <v>0</v>
      </c>
      <c r="O132" s="1">
        <f>MAX(MIN((Table1[[#This Row],[taxable wages]]-3000)*0.15,1000*num_kids_16_younger),0)</f>
        <v>5000</v>
      </c>
      <c r="P132" s="9">
        <f>IF(Table1[[#This Row],[Effective Child Tax Credit]]&gt;Table1[[#This Row],[Regular Taxes Owed]],Table1[[#This Row],[Additional Child Tax Credit ]]-Table1[[#This Row],[Regular Taxes Owed]],0)</f>
        <v>4345</v>
      </c>
      <c r="Q1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1265.200380840779</v>
      </c>
      <c r="R132" s="1">
        <f>Table1[[#This Row],[Effective Additional Child Tax Credit]]+Table1[[#This Row],[Eitc]]</f>
        <v>5610.200380840779</v>
      </c>
      <c r="S132" s="9">
        <f>Table1[[#This Row],[Regular Taxes Owed - Effective Child Tax Credit]]-Table1[[#This Row],[Total Credits]]</f>
        <v>-5610.200380840779</v>
      </c>
      <c r="T132" s="9">
        <f>Table1[[#This Row],[taxable wages]]+interest+dividends+short_term_capital_gains+long_term_capital_gains-(charitable_donations+mortgage_interest)</f>
        <v>47500</v>
      </c>
      <c r="U132" s="9">
        <f>MAX(amt_exemption-amt_exemption_phase_out_rate*MAX(Table1[[#This Row],[taxable wages]]-amt_phase_out_begins,0),0)</f>
        <v>83800</v>
      </c>
      <c r="V1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2" s="1">
        <f>IF(AND(Table1[[#This Row],[AMT Taxes]]&gt;Table1[[#This Row],[Regular Taxes Owed]],Table1[[#This Row],[AMT Taxes]]&gt;0),Table1[[#This Row],[AMT Taxes]]-Table1[[#This Row],[Regular Taxes Owed]],0)</f>
        <v>0</v>
      </c>
      <c r="X132" s="9">
        <f>Table1[[#This Row],[Extra Taxes From Amt]]+Table1[[#This Row],[Federal Taxes Owed (No AMT)]]</f>
        <v>-5610.200380840779</v>
      </c>
      <c r="Y132" s="9">
        <f>IF(Table1[[#This Row],[taxable wages]]&gt;obamacare_surcharge_amount,obamacare_surcharge_percent*(Table1[[#This Row],[taxable wages]]-obamacare_surcharge_amount),0)</f>
        <v>0</v>
      </c>
      <c r="Z132" s="9">
        <f>Table1[[#This Row],[Federal Taxes Owed (Includes AMT)]]+Table1[[#This Row],[Obamacare surcharge premium]]</f>
        <v>-5610.200380840779</v>
      </c>
      <c r="AA132" s="9">
        <f>Table1[[#This Row],[taxable wages]]-Table1[[#This Row],[Federal Taxes Owed2]]</f>
        <v>53110.200380840775</v>
      </c>
      <c r="AB132" s="51">
        <f t="shared" si="16"/>
        <v>0.3105976270689898</v>
      </c>
      <c r="AC132" s="41"/>
      <c r="AD132" s="13"/>
      <c r="AE132" s="13"/>
    </row>
    <row r="133" spans="2:31" x14ac:dyDescent="0.3">
      <c r="B133" s="41">
        <f t="shared" si="17"/>
        <v>48000</v>
      </c>
      <c r="C133" s="1">
        <f>Table1[[#This Row],[taxable wages]]</f>
        <v>48000</v>
      </c>
      <c r="D133" s="1">
        <f>Table1[[#This Row],[taxable wages]]+interest+dividends+short_term_capital_gains+long_term_capital_gains</f>
        <v>48000</v>
      </c>
      <c r="E133" s="1">
        <f>MAX(Table1[[#This Row],[earned income for EITC]:[Agi For Eitc Calc]])</f>
        <v>48000</v>
      </c>
      <c r="F133" s="1">
        <f>Table1[[#This Row],[taxable wages]]+interest+dividends+short_term_capital_gains+long_term_capital_gains-(trad_ira_contributions+MIN(student_loan_interest_cap,student_loan_interest))</f>
        <v>48000</v>
      </c>
      <c r="G133" s="1">
        <f t="shared" si="13"/>
        <v>12600</v>
      </c>
      <c r="H133" s="1">
        <f t="shared" si="14"/>
        <v>28350</v>
      </c>
      <c r="I133" s="1">
        <f>MAX(0,Table1[[#This Row],[Agi]]-Table1[[#This Row],[Exemptions]]-Table1[[#This Row],[Effective Deductions]])</f>
        <v>7050</v>
      </c>
      <c r="J1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705</v>
      </c>
      <c r="K133" s="1">
        <f t="shared" si="15"/>
        <v>5000</v>
      </c>
      <c r="L133" s="1">
        <f>IF(Table1[[#This Row],[Agi]]&gt;ctc_phase_out_begins,ctc_phase_out_rate*(Table1[[#This Row],[Agi]]-ctc_phase_out_begins),0)</f>
        <v>0</v>
      </c>
      <c r="M133" s="1">
        <f>MAX(Table1[[#This Row],[Child Tax Credit]]-Table1[[#This Row],[Child Tax Credit Phase Out]],0)</f>
        <v>5000</v>
      </c>
      <c r="N133" s="1">
        <f>MAX(Table1[[#This Row],[Regular Taxes Owed]]-Table1[[#This Row],[Effective Child Tax Credit]],0)</f>
        <v>0</v>
      </c>
      <c r="O133" s="1">
        <f>MAX(MIN((Table1[[#This Row],[taxable wages]]-3000)*0.15,1000*num_kids_16_younger),0)</f>
        <v>5000</v>
      </c>
      <c r="P133" s="9">
        <f>IF(Table1[[#This Row],[Effective Child Tax Credit]]&gt;Table1[[#This Row],[Regular Taxes Owed]],Table1[[#This Row],[Additional Child Tax Credit ]]-Table1[[#This Row],[Regular Taxes Owed]],0)</f>
        <v>4295</v>
      </c>
      <c r="Q1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1159.9015673062831</v>
      </c>
      <c r="R133" s="1">
        <f>Table1[[#This Row],[Effective Additional Child Tax Credit]]+Table1[[#This Row],[Eitc]]</f>
        <v>5454.9015673062831</v>
      </c>
      <c r="S133" s="9">
        <f>Table1[[#This Row],[Regular Taxes Owed - Effective Child Tax Credit]]-Table1[[#This Row],[Total Credits]]</f>
        <v>-5454.9015673062831</v>
      </c>
      <c r="T133" s="9">
        <f>Table1[[#This Row],[taxable wages]]+interest+dividends+short_term_capital_gains+long_term_capital_gains-(charitable_donations+mortgage_interest)</f>
        <v>48000</v>
      </c>
      <c r="U133" s="9">
        <f>MAX(amt_exemption-amt_exemption_phase_out_rate*MAX(Table1[[#This Row],[taxable wages]]-amt_phase_out_begins,0),0)</f>
        <v>83800</v>
      </c>
      <c r="V1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3" s="1">
        <f>IF(AND(Table1[[#This Row],[AMT Taxes]]&gt;Table1[[#This Row],[Regular Taxes Owed]],Table1[[#This Row],[AMT Taxes]]&gt;0),Table1[[#This Row],[AMT Taxes]]-Table1[[#This Row],[Regular Taxes Owed]],0)</f>
        <v>0</v>
      </c>
      <c r="X133" s="9">
        <f>Table1[[#This Row],[Extra Taxes From Amt]]+Table1[[#This Row],[Federal Taxes Owed (No AMT)]]</f>
        <v>-5454.9015673062831</v>
      </c>
      <c r="Y133" s="9">
        <f>IF(Table1[[#This Row],[taxable wages]]&gt;obamacare_surcharge_amount,obamacare_surcharge_percent*(Table1[[#This Row],[taxable wages]]-obamacare_surcharge_amount),0)</f>
        <v>0</v>
      </c>
      <c r="Z133" s="9">
        <f>Table1[[#This Row],[Federal Taxes Owed (Includes AMT)]]+Table1[[#This Row],[Obamacare surcharge premium]]</f>
        <v>-5454.9015673062831</v>
      </c>
      <c r="AA133" s="9">
        <f>Table1[[#This Row],[taxable wages]]-Table1[[#This Row],[Federal Taxes Owed2]]</f>
        <v>53454.901567306282</v>
      </c>
      <c r="AB133" s="51">
        <f t="shared" si="16"/>
        <v>0.31059762706899163</v>
      </c>
      <c r="AC133" s="41"/>
      <c r="AD133" s="13"/>
      <c r="AE133" s="13"/>
    </row>
    <row r="134" spans="2:31" x14ac:dyDescent="0.3">
      <c r="B134" s="41">
        <f t="shared" si="17"/>
        <v>48500</v>
      </c>
      <c r="C134" s="1">
        <f>Table1[[#This Row],[taxable wages]]</f>
        <v>48500</v>
      </c>
      <c r="D134" s="1">
        <f>Table1[[#This Row],[taxable wages]]+interest+dividends+short_term_capital_gains+long_term_capital_gains</f>
        <v>48500</v>
      </c>
      <c r="E134" s="1">
        <f>MAX(Table1[[#This Row],[earned income for EITC]:[Agi For Eitc Calc]])</f>
        <v>48500</v>
      </c>
      <c r="F134" s="1">
        <f>Table1[[#This Row],[taxable wages]]+interest+dividends+short_term_capital_gains+long_term_capital_gains-(trad_ira_contributions+MIN(student_loan_interest_cap,student_loan_interest))</f>
        <v>48500</v>
      </c>
      <c r="G134" s="1">
        <f t="shared" si="13"/>
        <v>12600</v>
      </c>
      <c r="H134" s="1">
        <f t="shared" si="14"/>
        <v>28350</v>
      </c>
      <c r="I134" s="1">
        <f>MAX(0,Table1[[#This Row],[Agi]]-Table1[[#This Row],[Exemptions]]-Table1[[#This Row],[Effective Deductions]])</f>
        <v>7550</v>
      </c>
      <c r="J1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755</v>
      </c>
      <c r="K134" s="1">
        <f t="shared" si="15"/>
        <v>5000</v>
      </c>
      <c r="L134" s="1">
        <f>IF(Table1[[#This Row],[Agi]]&gt;ctc_phase_out_begins,ctc_phase_out_rate*(Table1[[#This Row],[Agi]]-ctc_phase_out_begins),0)</f>
        <v>0</v>
      </c>
      <c r="M134" s="1">
        <f>MAX(Table1[[#This Row],[Child Tax Credit]]-Table1[[#This Row],[Child Tax Credit Phase Out]],0)</f>
        <v>5000</v>
      </c>
      <c r="N134" s="1">
        <f>MAX(Table1[[#This Row],[Regular Taxes Owed]]-Table1[[#This Row],[Effective Child Tax Credit]],0)</f>
        <v>0</v>
      </c>
      <c r="O134" s="1">
        <f>MAX(MIN((Table1[[#This Row],[taxable wages]]-3000)*0.15,1000*num_kids_16_younger),0)</f>
        <v>5000</v>
      </c>
      <c r="P134" s="9">
        <f>IF(Table1[[#This Row],[Effective Child Tax Credit]]&gt;Table1[[#This Row],[Regular Taxes Owed]],Table1[[#This Row],[Additional Child Tax Credit ]]-Table1[[#This Row],[Regular Taxes Owed]],0)</f>
        <v>4245</v>
      </c>
      <c r="Q1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1054.6027537717882</v>
      </c>
      <c r="R134" s="1">
        <f>Table1[[#This Row],[Effective Additional Child Tax Credit]]+Table1[[#This Row],[Eitc]]</f>
        <v>5299.6027537717882</v>
      </c>
      <c r="S134" s="9">
        <f>Table1[[#This Row],[Regular Taxes Owed - Effective Child Tax Credit]]-Table1[[#This Row],[Total Credits]]</f>
        <v>-5299.6027537717882</v>
      </c>
      <c r="T134" s="9">
        <f>Table1[[#This Row],[taxable wages]]+interest+dividends+short_term_capital_gains+long_term_capital_gains-(charitable_donations+mortgage_interest)</f>
        <v>48500</v>
      </c>
      <c r="U134" s="9">
        <f>MAX(amt_exemption-amt_exemption_phase_out_rate*MAX(Table1[[#This Row],[taxable wages]]-amt_phase_out_begins,0),0)</f>
        <v>83800</v>
      </c>
      <c r="V1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4" s="1">
        <f>IF(AND(Table1[[#This Row],[AMT Taxes]]&gt;Table1[[#This Row],[Regular Taxes Owed]],Table1[[#This Row],[AMT Taxes]]&gt;0),Table1[[#This Row],[AMT Taxes]]-Table1[[#This Row],[Regular Taxes Owed]],0)</f>
        <v>0</v>
      </c>
      <c r="X134" s="9">
        <f>Table1[[#This Row],[Extra Taxes From Amt]]+Table1[[#This Row],[Federal Taxes Owed (No AMT)]]</f>
        <v>-5299.6027537717882</v>
      </c>
      <c r="Y134" s="9">
        <f>IF(Table1[[#This Row],[taxable wages]]&gt;obamacare_surcharge_amount,obamacare_surcharge_percent*(Table1[[#This Row],[taxable wages]]-obamacare_surcharge_amount),0)</f>
        <v>0</v>
      </c>
      <c r="Z134" s="9">
        <f>Table1[[#This Row],[Federal Taxes Owed (Includes AMT)]]+Table1[[#This Row],[Obamacare surcharge premium]]</f>
        <v>-5299.6027537717882</v>
      </c>
      <c r="AA134" s="9">
        <f>Table1[[#This Row],[taxable wages]]-Table1[[#This Row],[Federal Taxes Owed2]]</f>
        <v>53799.602753771789</v>
      </c>
      <c r="AB134" s="51">
        <f t="shared" si="16"/>
        <v>0.3105976270689898</v>
      </c>
      <c r="AC134" s="41"/>
      <c r="AD134" s="13"/>
      <c r="AE134" s="13"/>
    </row>
    <row r="135" spans="2:31" x14ac:dyDescent="0.3">
      <c r="B135" s="41">
        <f t="shared" si="17"/>
        <v>49000</v>
      </c>
      <c r="C135" s="1">
        <f>Table1[[#This Row],[taxable wages]]</f>
        <v>49000</v>
      </c>
      <c r="D135" s="1">
        <f>Table1[[#This Row],[taxable wages]]+interest+dividends+short_term_capital_gains+long_term_capital_gains</f>
        <v>49000</v>
      </c>
      <c r="E135" s="1">
        <f>MAX(Table1[[#This Row],[earned income for EITC]:[Agi For Eitc Calc]])</f>
        <v>49000</v>
      </c>
      <c r="F135" s="1">
        <f>Table1[[#This Row],[taxable wages]]+interest+dividends+short_term_capital_gains+long_term_capital_gains-(trad_ira_contributions+MIN(student_loan_interest_cap,student_loan_interest))</f>
        <v>49000</v>
      </c>
      <c r="G135" s="1">
        <f t="shared" si="13"/>
        <v>12600</v>
      </c>
      <c r="H135" s="1">
        <f t="shared" si="14"/>
        <v>28350</v>
      </c>
      <c r="I135" s="1">
        <f>MAX(0,Table1[[#This Row],[Agi]]-Table1[[#This Row],[Exemptions]]-Table1[[#This Row],[Effective Deductions]])</f>
        <v>8050</v>
      </c>
      <c r="J1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805</v>
      </c>
      <c r="K135" s="1">
        <f t="shared" si="15"/>
        <v>5000</v>
      </c>
      <c r="L135" s="1">
        <f>IF(Table1[[#This Row],[Agi]]&gt;ctc_phase_out_begins,ctc_phase_out_rate*(Table1[[#This Row],[Agi]]-ctc_phase_out_begins),0)</f>
        <v>0</v>
      </c>
      <c r="M135" s="1">
        <f>MAX(Table1[[#This Row],[Child Tax Credit]]-Table1[[#This Row],[Child Tax Credit Phase Out]],0)</f>
        <v>5000</v>
      </c>
      <c r="N135" s="1">
        <f>MAX(Table1[[#This Row],[Regular Taxes Owed]]-Table1[[#This Row],[Effective Child Tax Credit]],0)</f>
        <v>0</v>
      </c>
      <c r="O135" s="1">
        <f>MAX(MIN((Table1[[#This Row],[taxable wages]]-3000)*0.15,1000*num_kids_16_younger),0)</f>
        <v>5000</v>
      </c>
      <c r="P135" s="9">
        <f>IF(Table1[[#This Row],[Effective Child Tax Credit]]&gt;Table1[[#This Row],[Regular Taxes Owed]],Table1[[#This Row],[Additional Child Tax Credit ]]-Table1[[#This Row],[Regular Taxes Owed]],0)</f>
        <v>4195</v>
      </c>
      <c r="Q1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949.30394023729241</v>
      </c>
      <c r="R135" s="1">
        <f>Table1[[#This Row],[Effective Additional Child Tax Credit]]+Table1[[#This Row],[Eitc]]</f>
        <v>5144.3039402372924</v>
      </c>
      <c r="S135" s="9">
        <f>Table1[[#This Row],[Regular Taxes Owed - Effective Child Tax Credit]]-Table1[[#This Row],[Total Credits]]</f>
        <v>-5144.3039402372924</v>
      </c>
      <c r="T135" s="9">
        <f>Table1[[#This Row],[taxable wages]]+interest+dividends+short_term_capital_gains+long_term_capital_gains-(charitable_donations+mortgage_interest)</f>
        <v>49000</v>
      </c>
      <c r="U135" s="9">
        <f>MAX(amt_exemption-amt_exemption_phase_out_rate*MAX(Table1[[#This Row],[taxable wages]]-amt_phase_out_begins,0),0)</f>
        <v>83800</v>
      </c>
      <c r="V1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5" s="1">
        <f>IF(AND(Table1[[#This Row],[AMT Taxes]]&gt;Table1[[#This Row],[Regular Taxes Owed]],Table1[[#This Row],[AMT Taxes]]&gt;0),Table1[[#This Row],[AMT Taxes]]-Table1[[#This Row],[Regular Taxes Owed]],0)</f>
        <v>0</v>
      </c>
      <c r="X135" s="9">
        <f>Table1[[#This Row],[Extra Taxes From Amt]]+Table1[[#This Row],[Federal Taxes Owed (No AMT)]]</f>
        <v>-5144.3039402372924</v>
      </c>
      <c r="Y135" s="9">
        <f>IF(Table1[[#This Row],[taxable wages]]&gt;obamacare_surcharge_amount,obamacare_surcharge_percent*(Table1[[#This Row],[taxable wages]]-obamacare_surcharge_amount),0)</f>
        <v>0</v>
      </c>
      <c r="Z135" s="9">
        <f>Table1[[#This Row],[Federal Taxes Owed (Includes AMT)]]+Table1[[#This Row],[Obamacare surcharge premium]]</f>
        <v>-5144.3039402372924</v>
      </c>
      <c r="AA135" s="9">
        <f>Table1[[#This Row],[taxable wages]]-Table1[[#This Row],[Federal Taxes Owed2]]</f>
        <v>54144.303940237296</v>
      </c>
      <c r="AB135" s="51">
        <f t="shared" si="16"/>
        <v>0.31059762706899163</v>
      </c>
      <c r="AC135" s="41"/>
      <c r="AD135" s="13"/>
      <c r="AE135" s="13"/>
    </row>
    <row r="136" spans="2:31" x14ac:dyDescent="0.3">
      <c r="B136" s="41">
        <f t="shared" si="17"/>
        <v>49500</v>
      </c>
      <c r="C136" s="1">
        <f>Table1[[#This Row],[taxable wages]]</f>
        <v>49500</v>
      </c>
      <c r="D136" s="1">
        <f>Table1[[#This Row],[taxable wages]]+interest+dividends+short_term_capital_gains+long_term_capital_gains</f>
        <v>49500</v>
      </c>
      <c r="E136" s="1">
        <f>MAX(Table1[[#This Row],[earned income for EITC]:[Agi For Eitc Calc]])</f>
        <v>49500</v>
      </c>
      <c r="F136" s="1">
        <f>Table1[[#This Row],[taxable wages]]+interest+dividends+short_term_capital_gains+long_term_capital_gains-(trad_ira_contributions+MIN(student_loan_interest_cap,student_loan_interest))</f>
        <v>49500</v>
      </c>
      <c r="G136" s="1">
        <f t="shared" si="13"/>
        <v>12600</v>
      </c>
      <c r="H136" s="1">
        <f t="shared" si="14"/>
        <v>28350</v>
      </c>
      <c r="I136" s="1">
        <f>MAX(0,Table1[[#This Row],[Agi]]-Table1[[#This Row],[Exemptions]]-Table1[[#This Row],[Effective Deductions]])</f>
        <v>8550</v>
      </c>
      <c r="J1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855</v>
      </c>
      <c r="K136" s="1">
        <f t="shared" si="15"/>
        <v>5000</v>
      </c>
      <c r="L136" s="1">
        <f>IF(Table1[[#This Row],[Agi]]&gt;ctc_phase_out_begins,ctc_phase_out_rate*(Table1[[#This Row],[Agi]]-ctc_phase_out_begins),0)</f>
        <v>0</v>
      </c>
      <c r="M136" s="1">
        <f>MAX(Table1[[#This Row],[Child Tax Credit]]-Table1[[#This Row],[Child Tax Credit Phase Out]],0)</f>
        <v>5000</v>
      </c>
      <c r="N136" s="1">
        <f>MAX(Table1[[#This Row],[Regular Taxes Owed]]-Table1[[#This Row],[Effective Child Tax Credit]],0)</f>
        <v>0</v>
      </c>
      <c r="O136" s="1">
        <f>MAX(MIN((Table1[[#This Row],[taxable wages]]-3000)*0.15,1000*num_kids_16_younger),0)</f>
        <v>5000</v>
      </c>
      <c r="P136" s="9">
        <f>IF(Table1[[#This Row],[Effective Child Tax Credit]]&gt;Table1[[#This Row],[Regular Taxes Owed]],Table1[[#This Row],[Additional Child Tax Credit ]]-Table1[[#This Row],[Regular Taxes Owed]],0)</f>
        <v>4145</v>
      </c>
      <c r="Q1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844.0051267027975</v>
      </c>
      <c r="R136" s="1">
        <f>Table1[[#This Row],[Effective Additional Child Tax Credit]]+Table1[[#This Row],[Eitc]]</f>
        <v>4989.0051267027975</v>
      </c>
      <c r="S136" s="9">
        <f>Table1[[#This Row],[Regular Taxes Owed - Effective Child Tax Credit]]-Table1[[#This Row],[Total Credits]]</f>
        <v>-4989.0051267027975</v>
      </c>
      <c r="T136" s="9">
        <f>Table1[[#This Row],[taxable wages]]+interest+dividends+short_term_capital_gains+long_term_capital_gains-(charitable_donations+mortgage_interest)</f>
        <v>49500</v>
      </c>
      <c r="U136" s="9">
        <f>MAX(amt_exemption-amt_exemption_phase_out_rate*MAX(Table1[[#This Row],[taxable wages]]-amt_phase_out_begins,0),0)</f>
        <v>83800</v>
      </c>
      <c r="V1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6" s="1">
        <f>IF(AND(Table1[[#This Row],[AMT Taxes]]&gt;Table1[[#This Row],[Regular Taxes Owed]],Table1[[#This Row],[AMT Taxes]]&gt;0),Table1[[#This Row],[AMT Taxes]]-Table1[[#This Row],[Regular Taxes Owed]],0)</f>
        <v>0</v>
      </c>
      <c r="X136" s="9">
        <f>Table1[[#This Row],[Extra Taxes From Amt]]+Table1[[#This Row],[Federal Taxes Owed (No AMT)]]</f>
        <v>-4989.0051267027975</v>
      </c>
      <c r="Y136" s="9">
        <f>IF(Table1[[#This Row],[taxable wages]]&gt;obamacare_surcharge_amount,obamacare_surcharge_percent*(Table1[[#This Row],[taxable wages]]-obamacare_surcharge_amount),0)</f>
        <v>0</v>
      </c>
      <c r="Z136" s="9">
        <f>Table1[[#This Row],[Federal Taxes Owed (Includes AMT)]]+Table1[[#This Row],[Obamacare surcharge premium]]</f>
        <v>-4989.0051267027975</v>
      </c>
      <c r="AA136" s="9">
        <f>Table1[[#This Row],[taxable wages]]-Table1[[#This Row],[Federal Taxes Owed2]]</f>
        <v>54489.005126702796</v>
      </c>
      <c r="AB136" s="51">
        <f t="shared" si="16"/>
        <v>0.3105976270689898</v>
      </c>
      <c r="AC136" s="41"/>
      <c r="AD136" s="13"/>
      <c r="AE136" s="13"/>
    </row>
    <row r="137" spans="2:31" x14ac:dyDescent="0.3">
      <c r="B137" s="41">
        <f t="shared" si="17"/>
        <v>50000</v>
      </c>
      <c r="C137" s="1">
        <f>Table1[[#This Row],[taxable wages]]</f>
        <v>50000</v>
      </c>
      <c r="D137" s="1">
        <f>Table1[[#This Row],[taxable wages]]+interest+dividends+short_term_capital_gains+long_term_capital_gains</f>
        <v>50000</v>
      </c>
      <c r="E137" s="1">
        <f>MAX(Table1[[#This Row],[earned income for EITC]:[Agi For Eitc Calc]])</f>
        <v>50000</v>
      </c>
      <c r="F137" s="1">
        <f>Table1[[#This Row],[taxable wages]]+interest+dividends+short_term_capital_gains+long_term_capital_gains-(trad_ira_contributions+MIN(student_loan_interest_cap,student_loan_interest))</f>
        <v>50000</v>
      </c>
      <c r="G137" s="1">
        <f t="shared" si="13"/>
        <v>12600</v>
      </c>
      <c r="H137" s="1">
        <f t="shared" si="14"/>
        <v>28350</v>
      </c>
      <c r="I137" s="1">
        <f>MAX(0,Table1[[#This Row],[Agi]]-Table1[[#This Row],[Exemptions]]-Table1[[#This Row],[Effective Deductions]])</f>
        <v>9050</v>
      </c>
      <c r="J1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905</v>
      </c>
      <c r="K137" s="1">
        <f t="shared" si="15"/>
        <v>5000</v>
      </c>
      <c r="L137" s="1">
        <f>IF(Table1[[#This Row],[Agi]]&gt;ctc_phase_out_begins,ctc_phase_out_rate*(Table1[[#This Row],[Agi]]-ctc_phase_out_begins),0)</f>
        <v>0</v>
      </c>
      <c r="M137" s="1">
        <f>MAX(Table1[[#This Row],[Child Tax Credit]]-Table1[[#This Row],[Child Tax Credit Phase Out]],0)</f>
        <v>5000</v>
      </c>
      <c r="N137" s="1">
        <f>MAX(Table1[[#This Row],[Regular Taxes Owed]]-Table1[[#This Row],[Effective Child Tax Credit]],0)</f>
        <v>0</v>
      </c>
      <c r="O137" s="1">
        <f>MAX(MIN((Table1[[#This Row],[taxable wages]]-3000)*0.15,1000*num_kids_16_younger),0)</f>
        <v>5000</v>
      </c>
      <c r="P137" s="9">
        <f>IF(Table1[[#This Row],[Effective Child Tax Credit]]&gt;Table1[[#This Row],[Regular Taxes Owed]],Table1[[#This Row],[Additional Child Tax Credit ]]-Table1[[#This Row],[Regular Taxes Owed]],0)</f>
        <v>4095</v>
      </c>
      <c r="Q1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738.70631316830168</v>
      </c>
      <c r="R137" s="1">
        <f>Table1[[#This Row],[Effective Additional Child Tax Credit]]+Table1[[#This Row],[Eitc]]</f>
        <v>4833.7063131683017</v>
      </c>
      <c r="S137" s="9">
        <f>Table1[[#This Row],[Regular Taxes Owed - Effective Child Tax Credit]]-Table1[[#This Row],[Total Credits]]</f>
        <v>-4833.7063131683017</v>
      </c>
      <c r="T137" s="9">
        <f>Table1[[#This Row],[taxable wages]]+interest+dividends+short_term_capital_gains+long_term_capital_gains-(charitable_donations+mortgage_interest)</f>
        <v>50000</v>
      </c>
      <c r="U137" s="9">
        <f>MAX(amt_exemption-amt_exemption_phase_out_rate*MAX(Table1[[#This Row],[taxable wages]]-amt_phase_out_begins,0),0)</f>
        <v>83800</v>
      </c>
      <c r="V1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7" s="1">
        <f>IF(AND(Table1[[#This Row],[AMT Taxes]]&gt;Table1[[#This Row],[Regular Taxes Owed]],Table1[[#This Row],[AMT Taxes]]&gt;0),Table1[[#This Row],[AMT Taxes]]-Table1[[#This Row],[Regular Taxes Owed]],0)</f>
        <v>0</v>
      </c>
      <c r="X137" s="9">
        <f>Table1[[#This Row],[Extra Taxes From Amt]]+Table1[[#This Row],[Federal Taxes Owed (No AMT)]]</f>
        <v>-4833.7063131683017</v>
      </c>
      <c r="Y137" s="9">
        <f>IF(Table1[[#This Row],[taxable wages]]&gt;obamacare_surcharge_amount,obamacare_surcharge_percent*(Table1[[#This Row],[taxable wages]]-obamacare_surcharge_amount),0)</f>
        <v>0</v>
      </c>
      <c r="Z137" s="9">
        <f>Table1[[#This Row],[Federal Taxes Owed (Includes AMT)]]+Table1[[#This Row],[Obamacare surcharge premium]]</f>
        <v>-4833.7063131683017</v>
      </c>
      <c r="AA137" s="9">
        <f>Table1[[#This Row],[taxable wages]]-Table1[[#This Row],[Federal Taxes Owed2]]</f>
        <v>54833.706313168303</v>
      </c>
      <c r="AB137" s="51">
        <f t="shared" si="16"/>
        <v>0.31059762706899163</v>
      </c>
      <c r="AC137" s="41"/>
      <c r="AD137" s="13"/>
      <c r="AE137" s="13"/>
    </row>
    <row r="138" spans="2:31" x14ac:dyDescent="0.3">
      <c r="B138" s="41">
        <f t="shared" si="17"/>
        <v>50500</v>
      </c>
      <c r="C138" s="1">
        <f>Table1[[#This Row],[taxable wages]]</f>
        <v>50500</v>
      </c>
      <c r="D138" s="1">
        <f>Table1[[#This Row],[taxable wages]]+interest+dividends+short_term_capital_gains+long_term_capital_gains</f>
        <v>50500</v>
      </c>
      <c r="E138" s="1">
        <f>MAX(Table1[[#This Row],[earned income for EITC]:[Agi For Eitc Calc]])</f>
        <v>50500</v>
      </c>
      <c r="F138" s="1">
        <f>Table1[[#This Row],[taxable wages]]+interest+dividends+short_term_capital_gains+long_term_capital_gains-(trad_ira_contributions+MIN(student_loan_interest_cap,student_loan_interest))</f>
        <v>50500</v>
      </c>
      <c r="G138" s="1">
        <f t="shared" si="13"/>
        <v>12600</v>
      </c>
      <c r="H138" s="1">
        <f t="shared" si="14"/>
        <v>28350</v>
      </c>
      <c r="I138" s="1">
        <f>MAX(0,Table1[[#This Row],[Agi]]-Table1[[#This Row],[Exemptions]]-Table1[[#This Row],[Effective Deductions]])</f>
        <v>9550</v>
      </c>
      <c r="J1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955</v>
      </c>
      <c r="K138" s="1">
        <f t="shared" si="15"/>
        <v>5000</v>
      </c>
      <c r="L138" s="1">
        <f>IF(Table1[[#This Row],[Agi]]&gt;ctc_phase_out_begins,ctc_phase_out_rate*(Table1[[#This Row],[Agi]]-ctc_phase_out_begins),0)</f>
        <v>0</v>
      </c>
      <c r="M138" s="1">
        <f>MAX(Table1[[#This Row],[Child Tax Credit]]-Table1[[#This Row],[Child Tax Credit Phase Out]],0)</f>
        <v>5000</v>
      </c>
      <c r="N138" s="1">
        <f>MAX(Table1[[#This Row],[Regular Taxes Owed]]-Table1[[#This Row],[Effective Child Tax Credit]],0)</f>
        <v>0</v>
      </c>
      <c r="O138" s="1">
        <f>MAX(MIN((Table1[[#This Row],[taxable wages]]-3000)*0.15,1000*num_kids_16_younger),0)</f>
        <v>5000</v>
      </c>
      <c r="P138" s="9">
        <f>IF(Table1[[#This Row],[Effective Child Tax Credit]]&gt;Table1[[#This Row],[Regular Taxes Owed]],Table1[[#This Row],[Additional Child Tax Credit ]]-Table1[[#This Row],[Regular Taxes Owed]],0)</f>
        <v>4045</v>
      </c>
      <c r="Q1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633.40749963380676</v>
      </c>
      <c r="R138" s="1">
        <f>Table1[[#This Row],[Effective Additional Child Tax Credit]]+Table1[[#This Row],[Eitc]]</f>
        <v>4678.4074996338068</v>
      </c>
      <c r="S138" s="9">
        <f>Table1[[#This Row],[Regular Taxes Owed - Effective Child Tax Credit]]-Table1[[#This Row],[Total Credits]]</f>
        <v>-4678.4074996338068</v>
      </c>
      <c r="T138" s="9">
        <f>Table1[[#This Row],[taxable wages]]+interest+dividends+short_term_capital_gains+long_term_capital_gains-(charitable_donations+mortgage_interest)</f>
        <v>50500</v>
      </c>
      <c r="U138" s="9">
        <f>MAX(amt_exemption-amt_exemption_phase_out_rate*MAX(Table1[[#This Row],[taxable wages]]-amt_phase_out_begins,0),0)</f>
        <v>83800</v>
      </c>
      <c r="V1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8" s="1">
        <f>IF(AND(Table1[[#This Row],[AMT Taxes]]&gt;Table1[[#This Row],[Regular Taxes Owed]],Table1[[#This Row],[AMT Taxes]]&gt;0),Table1[[#This Row],[AMT Taxes]]-Table1[[#This Row],[Regular Taxes Owed]],0)</f>
        <v>0</v>
      </c>
      <c r="X138" s="9">
        <f>Table1[[#This Row],[Extra Taxes From Amt]]+Table1[[#This Row],[Federal Taxes Owed (No AMT)]]</f>
        <v>-4678.4074996338068</v>
      </c>
      <c r="Y138" s="9">
        <f>IF(Table1[[#This Row],[taxable wages]]&gt;obamacare_surcharge_amount,obamacare_surcharge_percent*(Table1[[#This Row],[taxable wages]]-obamacare_surcharge_amount),0)</f>
        <v>0</v>
      </c>
      <c r="Z138" s="9">
        <f>Table1[[#This Row],[Federal Taxes Owed (Includes AMT)]]+Table1[[#This Row],[Obamacare surcharge premium]]</f>
        <v>-4678.4074996338068</v>
      </c>
      <c r="AA138" s="9">
        <f>Table1[[#This Row],[taxable wages]]-Table1[[#This Row],[Federal Taxes Owed2]]</f>
        <v>55178.407499633809</v>
      </c>
      <c r="AB138" s="51">
        <f t="shared" si="16"/>
        <v>0.3105976270689898</v>
      </c>
      <c r="AC138" s="41"/>
      <c r="AD138" s="13"/>
      <c r="AE138" s="13"/>
    </row>
    <row r="139" spans="2:31" x14ac:dyDescent="0.3">
      <c r="B139" s="41">
        <f t="shared" si="17"/>
        <v>51000</v>
      </c>
      <c r="C139" s="1">
        <f>Table1[[#This Row],[taxable wages]]</f>
        <v>51000</v>
      </c>
      <c r="D139" s="1">
        <f>Table1[[#This Row],[taxable wages]]+interest+dividends+short_term_capital_gains+long_term_capital_gains</f>
        <v>51000</v>
      </c>
      <c r="E139" s="1">
        <f>MAX(Table1[[#This Row],[earned income for EITC]:[Agi For Eitc Calc]])</f>
        <v>51000</v>
      </c>
      <c r="F139" s="1">
        <f>Table1[[#This Row],[taxable wages]]+interest+dividends+short_term_capital_gains+long_term_capital_gains-(trad_ira_contributions+MIN(student_loan_interest_cap,student_loan_interest))</f>
        <v>51000</v>
      </c>
      <c r="G139" s="1">
        <f t="shared" si="13"/>
        <v>12600</v>
      </c>
      <c r="H139" s="1">
        <f t="shared" si="14"/>
        <v>28350</v>
      </c>
      <c r="I139" s="1">
        <f>MAX(0,Table1[[#This Row],[Agi]]-Table1[[#This Row],[Exemptions]]-Table1[[#This Row],[Effective Deductions]])</f>
        <v>10050</v>
      </c>
      <c r="J1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1005</v>
      </c>
      <c r="K139" s="1">
        <f t="shared" si="15"/>
        <v>5000</v>
      </c>
      <c r="L139" s="1">
        <f>IF(Table1[[#This Row],[Agi]]&gt;ctc_phase_out_begins,ctc_phase_out_rate*(Table1[[#This Row],[Agi]]-ctc_phase_out_begins),0)</f>
        <v>0</v>
      </c>
      <c r="M139" s="1">
        <f>MAX(Table1[[#This Row],[Child Tax Credit]]-Table1[[#This Row],[Child Tax Credit Phase Out]],0)</f>
        <v>5000</v>
      </c>
      <c r="N139" s="1">
        <f>MAX(Table1[[#This Row],[Regular Taxes Owed]]-Table1[[#This Row],[Effective Child Tax Credit]],0)</f>
        <v>0</v>
      </c>
      <c r="O139" s="1">
        <f>MAX(MIN((Table1[[#This Row],[taxable wages]]-3000)*0.15,1000*num_kids_16_younger),0)</f>
        <v>5000</v>
      </c>
      <c r="P139" s="9">
        <f>IF(Table1[[#This Row],[Effective Child Tax Credit]]&gt;Table1[[#This Row],[Regular Taxes Owed]],Table1[[#This Row],[Additional Child Tax Credit ]]-Table1[[#This Row],[Regular Taxes Owed]],0)</f>
        <v>3995</v>
      </c>
      <c r="Q1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528.10868609931094</v>
      </c>
      <c r="R139" s="1">
        <f>Table1[[#This Row],[Effective Additional Child Tax Credit]]+Table1[[#This Row],[Eitc]]</f>
        <v>4523.1086860993109</v>
      </c>
      <c r="S139" s="9">
        <f>Table1[[#This Row],[Regular Taxes Owed - Effective Child Tax Credit]]-Table1[[#This Row],[Total Credits]]</f>
        <v>-4523.1086860993109</v>
      </c>
      <c r="T139" s="9">
        <f>Table1[[#This Row],[taxable wages]]+interest+dividends+short_term_capital_gains+long_term_capital_gains-(charitable_donations+mortgage_interest)</f>
        <v>51000</v>
      </c>
      <c r="U139" s="9">
        <f>MAX(amt_exemption-amt_exemption_phase_out_rate*MAX(Table1[[#This Row],[taxable wages]]-amt_phase_out_begins,0),0)</f>
        <v>83800</v>
      </c>
      <c r="V1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39" s="1">
        <f>IF(AND(Table1[[#This Row],[AMT Taxes]]&gt;Table1[[#This Row],[Regular Taxes Owed]],Table1[[#This Row],[AMT Taxes]]&gt;0),Table1[[#This Row],[AMT Taxes]]-Table1[[#This Row],[Regular Taxes Owed]],0)</f>
        <v>0</v>
      </c>
      <c r="X139" s="9">
        <f>Table1[[#This Row],[Extra Taxes From Amt]]+Table1[[#This Row],[Federal Taxes Owed (No AMT)]]</f>
        <v>-4523.1086860993109</v>
      </c>
      <c r="Y139" s="9">
        <f>IF(Table1[[#This Row],[taxable wages]]&gt;obamacare_surcharge_amount,obamacare_surcharge_percent*(Table1[[#This Row],[taxable wages]]-obamacare_surcharge_amount),0)</f>
        <v>0</v>
      </c>
      <c r="Z139" s="9">
        <f>Table1[[#This Row],[Federal Taxes Owed (Includes AMT)]]+Table1[[#This Row],[Obamacare surcharge premium]]</f>
        <v>-4523.1086860993109</v>
      </c>
      <c r="AA139" s="9">
        <f>Table1[[#This Row],[taxable wages]]-Table1[[#This Row],[Federal Taxes Owed2]]</f>
        <v>55523.108686099309</v>
      </c>
      <c r="AB139" s="51">
        <f t="shared" si="16"/>
        <v>0.31059762706899163</v>
      </c>
      <c r="AC139" s="41"/>
      <c r="AD139" s="13"/>
      <c r="AE139" s="13"/>
    </row>
    <row r="140" spans="2:31" x14ac:dyDescent="0.3">
      <c r="B140" s="41">
        <f t="shared" si="17"/>
        <v>51500</v>
      </c>
      <c r="C140" s="1">
        <f>Table1[[#This Row],[taxable wages]]</f>
        <v>51500</v>
      </c>
      <c r="D140" s="1">
        <f>Table1[[#This Row],[taxable wages]]+interest+dividends+short_term_capital_gains+long_term_capital_gains</f>
        <v>51500</v>
      </c>
      <c r="E140" s="1">
        <f>MAX(Table1[[#This Row],[earned income for EITC]:[Agi For Eitc Calc]])</f>
        <v>51500</v>
      </c>
      <c r="F140" s="1">
        <f>Table1[[#This Row],[taxable wages]]+interest+dividends+short_term_capital_gains+long_term_capital_gains-(trad_ira_contributions+MIN(student_loan_interest_cap,student_loan_interest))</f>
        <v>51500</v>
      </c>
      <c r="G140" s="1">
        <f t="shared" si="13"/>
        <v>12600</v>
      </c>
      <c r="H140" s="1">
        <f t="shared" si="14"/>
        <v>28350</v>
      </c>
      <c r="I140" s="1">
        <f>MAX(0,Table1[[#This Row],[Agi]]-Table1[[#This Row],[Exemptions]]-Table1[[#This Row],[Effective Deductions]])</f>
        <v>10550</v>
      </c>
      <c r="J1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1055</v>
      </c>
      <c r="K140" s="1">
        <f t="shared" si="15"/>
        <v>5000</v>
      </c>
      <c r="L140" s="1">
        <f>IF(Table1[[#This Row],[Agi]]&gt;ctc_phase_out_begins,ctc_phase_out_rate*(Table1[[#This Row],[Agi]]-ctc_phase_out_begins),0)</f>
        <v>0</v>
      </c>
      <c r="M140" s="1">
        <f>MAX(Table1[[#This Row],[Child Tax Credit]]-Table1[[#This Row],[Child Tax Credit Phase Out]],0)</f>
        <v>5000</v>
      </c>
      <c r="N140" s="1">
        <f>MAX(Table1[[#This Row],[Regular Taxes Owed]]-Table1[[#This Row],[Effective Child Tax Credit]],0)</f>
        <v>0</v>
      </c>
      <c r="O140" s="1">
        <f>MAX(MIN((Table1[[#This Row],[taxable wages]]-3000)*0.15,1000*num_kids_16_younger),0)</f>
        <v>5000</v>
      </c>
      <c r="P140" s="9">
        <f>IF(Table1[[#This Row],[Effective Child Tax Credit]]&gt;Table1[[#This Row],[Regular Taxes Owed]],Table1[[#This Row],[Additional Child Tax Credit ]]-Table1[[#This Row],[Regular Taxes Owed]],0)</f>
        <v>3945</v>
      </c>
      <c r="Q1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422.80987256481512</v>
      </c>
      <c r="R140" s="1">
        <f>Table1[[#This Row],[Effective Additional Child Tax Credit]]+Table1[[#This Row],[Eitc]]</f>
        <v>4367.8098725648151</v>
      </c>
      <c r="S140" s="9">
        <f>Table1[[#This Row],[Regular Taxes Owed - Effective Child Tax Credit]]-Table1[[#This Row],[Total Credits]]</f>
        <v>-4367.8098725648151</v>
      </c>
      <c r="T140" s="9">
        <f>Table1[[#This Row],[taxable wages]]+interest+dividends+short_term_capital_gains+long_term_capital_gains-(charitable_donations+mortgage_interest)</f>
        <v>51500</v>
      </c>
      <c r="U140" s="9">
        <f>MAX(amt_exemption-amt_exemption_phase_out_rate*MAX(Table1[[#This Row],[taxable wages]]-amt_phase_out_begins,0),0)</f>
        <v>83800</v>
      </c>
      <c r="V1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0" s="1">
        <f>IF(AND(Table1[[#This Row],[AMT Taxes]]&gt;Table1[[#This Row],[Regular Taxes Owed]],Table1[[#This Row],[AMT Taxes]]&gt;0),Table1[[#This Row],[AMT Taxes]]-Table1[[#This Row],[Regular Taxes Owed]],0)</f>
        <v>0</v>
      </c>
      <c r="X140" s="9">
        <f>Table1[[#This Row],[Extra Taxes From Amt]]+Table1[[#This Row],[Federal Taxes Owed (No AMT)]]</f>
        <v>-4367.8098725648151</v>
      </c>
      <c r="Y140" s="9">
        <f>IF(Table1[[#This Row],[taxable wages]]&gt;obamacare_surcharge_amount,obamacare_surcharge_percent*(Table1[[#This Row],[taxable wages]]-obamacare_surcharge_amount),0)</f>
        <v>0</v>
      </c>
      <c r="Z140" s="9">
        <f>Table1[[#This Row],[Federal Taxes Owed (Includes AMT)]]+Table1[[#This Row],[Obamacare surcharge premium]]</f>
        <v>-4367.8098725648151</v>
      </c>
      <c r="AA140" s="9">
        <f>Table1[[#This Row],[taxable wages]]-Table1[[#This Row],[Federal Taxes Owed2]]</f>
        <v>55867.809872564816</v>
      </c>
      <c r="AB140" s="51">
        <f t="shared" si="16"/>
        <v>0.31059762706899163</v>
      </c>
      <c r="AC140" s="41"/>
      <c r="AD140" s="13"/>
      <c r="AE140" s="13"/>
    </row>
    <row r="141" spans="2:31" x14ac:dyDescent="0.3">
      <c r="B141" s="41">
        <f t="shared" si="17"/>
        <v>52000</v>
      </c>
      <c r="C141" s="1">
        <f>Table1[[#This Row],[taxable wages]]</f>
        <v>52000</v>
      </c>
      <c r="D141" s="1">
        <f>Table1[[#This Row],[taxable wages]]+interest+dividends+short_term_capital_gains+long_term_capital_gains</f>
        <v>52000</v>
      </c>
      <c r="E141" s="1">
        <f>MAX(Table1[[#This Row],[earned income for EITC]:[Agi For Eitc Calc]])</f>
        <v>52000</v>
      </c>
      <c r="F141" s="1">
        <f>Table1[[#This Row],[taxable wages]]+interest+dividends+short_term_capital_gains+long_term_capital_gains-(trad_ira_contributions+MIN(student_loan_interest_cap,student_loan_interest))</f>
        <v>52000</v>
      </c>
      <c r="G141" s="1">
        <f t="shared" si="13"/>
        <v>12600</v>
      </c>
      <c r="H141" s="1">
        <f t="shared" si="14"/>
        <v>28350</v>
      </c>
      <c r="I141" s="1">
        <f>MAX(0,Table1[[#This Row],[Agi]]-Table1[[#This Row],[Exemptions]]-Table1[[#This Row],[Effective Deductions]])</f>
        <v>11050</v>
      </c>
      <c r="J1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1105</v>
      </c>
      <c r="K141" s="1">
        <f t="shared" si="15"/>
        <v>5000</v>
      </c>
      <c r="L141" s="1">
        <f>IF(Table1[[#This Row],[Agi]]&gt;ctc_phase_out_begins,ctc_phase_out_rate*(Table1[[#This Row],[Agi]]-ctc_phase_out_begins),0)</f>
        <v>0</v>
      </c>
      <c r="M141" s="1">
        <f>MAX(Table1[[#This Row],[Child Tax Credit]]-Table1[[#This Row],[Child Tax Credit Phase Out]],0)</f>
        <v>5000</v>
      </c>
      <c r="N141" s="1">
        <f>MAX(Table1[[#This Row],[Regular Taxes Owed]]-Table1[[#This Row],[Effective Child Tax Credit]],0)</f>
        <v>0</v>
      </c>
      <c r="O141" s="1">
        <f>MAX(MIN((Table1[[#This Row],[taxable wages]]-3000)*0.15,1000*num_kids_16_younger),0)</f>
        <v>5000</v>
      </c>
      <c r="P141" s="9">
        <f>IF(Table1[[#This Row],[Effective Child Tax Credit]]&gt;Table1[[#This Row],[Regular Taxes Owed]],Table1[[#This Row],[Additional Child Tax Credit ]]-Table1[[#This Row],[Regular Taxes Owed]],0)</f>
        <v>3895</v>
      </c>
      <c r="Q1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317.51105903032021</v>
      </c>
      <c r="R141" s="1">
        <f>Table1[[#This Row],[Effective Additional Child Tax Credit]]+Table1[[#This Row],[Eitc]]</f>
        <v>4212.5110590303202</v>
      </c>
      <c r="S141" s="9">
        <f>Table1[[#This Row],[Regular Taxes Owed - Effective Child Tax Credit]]-Table1[[#This Row],[Total Credits]]</f>
        <v>-4212.5110590303202</v>
      </c>
      <c r="T141" s="9">
        <f>Table1[[#This Row],[taxable wages]]+interest+dividends+short_term_capital_gains+long_term_capital_gains-(charitable_donations+mortgage_interest)</f>
        <v>52000</v>
      </c>
      <c r="U141" s="9">
        <f>MAX(amt_exemption-amt_exemption_phase_out_rate*MAX(Table1[[#This Row],[taxable wages]]-amt_phase_out_begins,0),0)</f>
        <v>83800</v>
      </c>
      <c r="V1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1" s="1">
        <f>IF(AND(Table1[[#This Row],[AMT Taxes]]&gt;Table1[[#This Row],[Regular Taxes Owed]],Table1[[#This Row],[AMT Taxes]]&gt;0),Table1[[#This Row],[AMT Taxes]]-Table1[[#This Row],[Regular Taxes Owed]],0)</f>
        <v>0</v>
      </c>
      <c r="X141" s="9">
        <f>Table1[[#This Row],[Extra Taxes From Amt]]+Table1[[#This Row],[Federal Taxes Owed (No AMT)]]</f>
        <v>-4212.5110590303202</v>
      </c>
      <c r="Y141" s="9">
        <f>IF(Table1[[#This Row],[taxable wages]]&gt;obamacare_surcharge_amount,obamacare_surcharge_percent*(Table1[[#This Row],[taxable wages]]-obamacare_surcharge_amount),0)</f>
        <v>0</v>
      </c>
      <c r="Z141" s="9">
        <f>Table1[[#This Row],[Federal Taxes Owed (Includes AMT)]]+Table1[[#This Row],[Obamacare surcharge premium]]</f>
        <v>-4212.5110590303202</v>
      </c>
      <c r="AA141" s="9">
        <f>Table1[[#This Row],[taxable wages]]-Table1[[#This Row],[Federal Taxes Owed2]]</f>
        <v>56212.511059030323</v>
      </c>
      <c r="AB141" s="51">
        <f t="shared" si="16"/>
        <v>0.3105976270689898</v>
      </c>
      <c r="AC141" s="41"/>
      <c r="AD141" s="13"/>
      <c r="AE141" s="13"/>
    </row>
    <row r="142" spans="2:31" x14ac:dyDescent="0.3">
      <c r="B142" s="41">
        <f t="shared" si="17"/>
        <v>52500</v>
      </c>
      <c r="C142" s="1">
        <f>Table1[[#This Row],[taxable wages]]</f>
        <v>52500</v>
      </c>
      <c r="D142" s="1">
        <f>Table1[[#This Row],[taxable wages]]+interest+dividends+short_term_capital_gains+long_term_capital_gains</f>
        <v>52500</v>
      </c>
      <c r="E142" s="1">
        <f>MAX(Table1[[#This Row],[earned income for EITC]:[Agi For Eitc Calc]])</f>
        <v>52500</v>
      </c>
      <c r="F142" s="1">
        <f>Table1[[#This Row],[taxable wages]]+interest+dividends+short_term_capital_gains+long_term_capital_gains-(trad_ira_contributions+MIN(student_loan_interest_cap,student_loan_interest))</f>
        <v>52500</v>
      </c>
      <c r="G142" s="1">
        <f t="shared" si="13"/>
        <v>12600</v>
      </c>
      <c r="H142" s="1">
        <f t="shared" si="14"/>
        <v>28350</v>
      </c>
      <c r="I142" s="1">
        <f>MAX(0,Table1[[#This Row],[Agi]]-Table1[[#This Row],[Exemptions]]-Table1[[#This Row],[Effective Deductions]])</f>
        <v>11550</v>
      </c>
      <c r="J1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1155</v>
      </c>
      <c r="K142" s="1">
        <f t="shared" si="15"/>
        <v>5000</v>
      </c>
      <c r="L142" s="1">
        <f>IF(Table1[[#This Row],[Agi]]&gt;ctc_phase_out_begins,ctc_phase_out_rate*(Table1[[#This Row],[Agi]]-ctc_phase_out_begins),0)</f>
        <v>0</v>
      </c>
      <c r="M142" s="1">
        <f>MAX(Table1[[#This Row],[Child Tax Credit]]-Table1[[#This Row],[Child Tax Credit Phase Out]],0)</f>
        <v>5000</v>
      </c>
      <c r="N142" s="1">
        <f>MAX(Table1[[#This Row],[Regular Taxes Owed]]-Table1[[#This Row],[Effective Child Tax Credit]],0)</f>
        <v>0</v>
      </c>
      <c r="O142" s="1">
        <f>MAX(MIN((Table1[[#This Row],[taxable wages]]-3000)*0.15,1000*num_kids_16_younger),0)</f>
        <v>5000</v>
      </c>
      <c r="P142" s="9">
        <f>IF(Table1[[#This Row],[Effective Child Tax Credit]]&gt;Table1[[#This Row],[Regular Taxes Owed]],Table1[[#This Row],[Additional Child Tax Credit ]]-Table1[[#This Row],[Regular Taxes Owed]],0)</f>
        <v>3845</v>
      </c>
      <c r="Q1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212.21224549582439</v>
      </c>
      <c r="R142" s="1">
        <f>Table1[[#This Row],[Effective Additional Child Tax Credit]]+Table1[[#This Row],[Eitc]]</f>
        <v>4057.2122454958244</v>
      </c>
      <c r="S142" s="9">
        <f>Table1[[#This Row],[Regular Taxes Owed - Effective Child Tax Credit]]-Table1[[#This Row],[Total Credits]]</f>
        <v>-4057.2122454958244</v>
      </c>
      <c r="T142" s="9">
        <f>Table1[[#This Row],[taxable wages]]+interest+dividends+short_term_capital_gains+long_term_capital_gains-(charitable_donations+mortgage_interest)</f>
        <v>52500</v>
      </c>
      <c r="U142" s="9">
        <f>MAX(amt_exemption-amt_exemption_phase_out_rate*MAX(Table1[[#This Row],[taxable wages]]-amt_phase_out_begins,0),0)</f>
        <v>83800</v>
      </c>
      <c r="V1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2" s="1">
        <f>IF(AND(Table1[[#This Row],[AMT Taxes]]&gt;Table1[[#This Row],[Regular Taxes Owed]],Table1[[#This Row],[AMT Taxes]]&gt;0),Table1[[#This Row],[AMT Taxes]]-Table1[[#This Row],[Regular Taxes Owed]],0)</f>
        <v>0</v>
      </c>
      <c r="X142" s="9">
        <f>Table1[[#This Row],[Extra Taxes From Amt]]+Table1[[#This Row],[Federal Taxes Owed (No AMT)]]</f>
        <v>-4057.2122454958244</v>
      </c>
      <c r="Y142" s="9">
        <f>IF(Table1[[#This Row],[taxable wages]]&gt;obamacare_surcharge_amount,obamacare_surcharge_percent*(Table1[[#This Row],[taxable wages]]-obamacare_surcharge_amount),0)</f>
        <v>0</v>
      </c>
      <c r="Z142" s="9">
        <f>Table1[[#This Row],[Federal Taxes Owed (Includes AMT)]]+Table1[[#This Row],[Obamacare surcharge premium]]</f>
        <v>-4057.2122454958244</v>
      </c>
      <c r="AA142" s="9">
        <f>Table1[[#This Row],[taxable wages]]-Table1[[#This Row],[Federal Taxes Owed2]]</f>
        <v>56557.212245495823</v>
      </c>
      <c r="AB142" s="51">
        <f t="shared" si="16"/>
        <v>0.31059762706899163</v>
      </c>
      <c r="AC142" s="41"/>
      <c r="AD142" s="13"/>
      <c r="AE142" s="13"/>
    </row>
    <row r="143" spans="2:31" x14ac:dyDescent="0.3">
      <c r="B143" s="41">
        <f t="shared" si="17"/>
        <v>53000</v>
      </c>
      <c r="C143" s="1">
        <f>Table1[[#This Row],[taxable wages]]</f>
        <v>53000</v>
      </c>
      <c r="D143" s="1">
        <f>Table1[[#This Row],[taxable wages]]+interest+dividends+short_term_capital_gains+long_term_capital_gains</f>
        <v>53000</v>
      </c>
      <c r="E143" s="1">
        <f>MAX(Table1[[#This Row],[earned income for EITC]:[Agi For Eitc Calc]])</f>
        <v>53000</v>
      </c>
      <c r="F143" s="1">
        <f>Table1[[#This Row],[taxable wages]]+interest+dividends+short_term_capital_gains+long_term_capital_gains-(trad_ira_contributions+MIN(student_loan_interest_cap,student_loan_interest))</f>
        <v>53000</v>
      </c>
      <c r="G143" s="1">
        <f t="shared" si="13"/>
        <v>12600</v>
      </c>
      <c r="H143" s="1">
        <f t="shared" si="14"/>
        <v>28350</v>
      </c>
      <c r="I143" s="1">
        <f>MAX(0,Table1[[#This Row],[Agi]]-Table1[[#This Row],[Exemptions]]-Table1[[#This Row],[Effective Deductions]])</f>
        <v>12050</v>
      </c>
      <c r="J1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1205</v>
      </c>
      <c r="K143" s="1">
        <f t="shared" si="15"/>
        <v>5000</v>
      </c>
      <c r="L143" s="1">
        <f>IF(Table1[[#This Row],[Agi]]&gt;ctc_phase_out_begins,ctc_phase_out_rate*(Table1[[#This Row],[Agi]]-ctc_phase_out_begins),0)</f>
        <v>0</v>
      </c>
      <c r="M143" s="1">
        <f>MAX(Table1[[#This Row],[Child Tax Credit]]-Table1[[#This Row],[Child Tax Credit Phase Out]],0)</f>
        <v>5000</v>
      </c>
      <c r="N143" s="1">
        <f>MAX(Table1[[#This Row],[Regular Taxes Owed]]-Table1[[#This Row],[Effective Child Tax Credit]],0)</f>
        <v>0</v>
      </c>
      <c r="O143" s="1">
        <f>MAX(MIN((Table1[[#This Row],[taxable wages]]-3000)*0.15,1000*num_kids_16_younger),0)</f>
        <v>5000</v>
      </c>
      <c r="P143" s="9">
        <f>IF(Table1[[#This Row],[Effective Child Tax Credit]]&gt;Table1[[#This Row],[Regular Taxes Owed]],Table1[[#This Row],[Additional Child Tax Credit ]]-Table1[[#This Row],[Regular Taxes Owed]],0)</f>
        <v>3795</v>
      </c>
      <c r="Q1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106.91343196132948</v>
      </c>
      <c r="R143" s="1">
        <f>Table1[[#This Row],[Effective Additional Child Tax Credit]]+Table1[[#This Row],[Eitc]]</f>
        <v>3901.9134319613295</v>
      </c>
      <c r="S143" s="9">
        <f>Table1[[#This Row],[Regular Taxes Owed - Effective Child Tax Credit]]-Table1[[#This Row],[Total Credits]]</f>
        <v>-3901.9134319613295</v>
      </c>
      <c r="T143" s="9">
        <f>Table1[[#This Row],[taxable wages]]+interest+dividends+short_term_capital_gains+long_term_capital_gains-(charitable_donations+mortgage_interest)</f>
        <v>53000</v>
      </c>
      <c r="U143" s="9">
        <f>MAX(amt_exemption-amt_exemption_phase_out_rate*MAX(Table1[[#This Row],[taxable wages]]-amt_phase_out_begins,0),0)</f>
        <v>83800</v>
      </c>
      <c r="V1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3" s="1">
        <f>IF(AND(Table1[[#This Row],[AMT Taxes]]&gt;Table1[[#This Row],[Regular Taxes Owed]],Table1[[#This Row],[AMT Taxes]]&gt;0),Table1[[#This Row],[AMT Taxes]]-Table1[[#This Row],[Regular Taxes Owed]],0)</f>
        <v>0</v>
      </c>
      <c r="X143" s="9">
        <f>Table1[[#This Row],[Extra Taxes From Amt]]+Table1[[#This Row],[Federal Taxes Owed (No AMT)]]</f>
        <v>-3901.9134319613295</v>
      </c>
      <c r="Y143" s="9">
        <f>IF(Table1[[#This Row],[taxable wages]]&gt;obamacare_surcharge_amount,obamacare_surcharge_percent*(Table1[[#This Row],[taxable wages]]-obamacare_surcharge_amount),0)</f>
        <v>0</v>
      </c>
      <c r="Z143" s="9">
        <f>Table1[[#This Row],[Federal Taxes Owed (Includes AMT)]]+Table1[[#This Row],[Obamacare surcharge premium]]</f>
        <v>-3901.9134319613295</v>
      </c>
      <c r="AA143" s="9">
        <f>Table1[[#This Row],[taxable wages]]-Table1[[#This Row],[Federal Taxes Owed2]]</f>
        <v>56901.913431961329</v>
      </c>
      <c r="AB143" s="51">
        <f t="shared" si="16"/>
        <v>0.3105976270689898</v>
      </c>
      <c r="AC143" s="41"/>
      <c r="AD143" s="13"/>
      <c r="AE143" s="13"/>
    </row>
    <row r="144" spans="2:31" x14ac:dyDescent="0.3">
      <c r="B144" s="41">
        <f t="shared" si="17"/>
        <v>53500</v>
      </c>
      <c r="C144" s="1">
        <f>Table1[[#This Row],[taxable wages]]</f>
        <v>53500</v>
      </c>
      <c r="D144" s="1">
        <f>Table1[[#This Row],[taxable wages]]+interest+dividends+short_term_capital_gains+long_term_capital_gains</f>
        <v>53500</v>
      </c>
      <c r="E144" s="1">
        <f>MAX(Table1[[#This Row],[earned income for EITC]:[Agi For Eitc Calc]])</f>
        <v>53500</v>
      </c>
      <c r="F144" s="1">
        <f>Table1[[#This Row],[taxable wages]]+interest+dividends+short_term_capital_gains+long_term_capital_gains-(trad_ira_contributions+MIN(student_loan_interest_cap,student_loan_interest))</f>
        <v>53500</v>
      </c>
      <c r="G144" s="1">
        <f t="shared" si="13"/>
        <v>12600</v>
      </c>
      <c r="H144" s="1">
        <f t="shared" si="14"/>
        <v>28350</v>
      </c>
      <c r="I144" s="1">
        <f>MAX(0,Table1[[#This Row],[Agi]]-Table1[[#This Row],[Exemptions]]-Table1[[#This Row],[Effective Deductions]])</f>
        <v>12550</v>
      </c>
      <c r="J1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1255</v>
      </c>
      <c r="K144" s="1">
        <f t="shared" si="15"/>
        <v>5000</v>
      </c>
      <c r="L144" s="1">
        <f>IF(Table1[[#This Row],[Agi]]&gt;ctc_phase_out_begins,ctc_phase_out_rate*(Table1[[#This Row],[Agi]]-ctc_phase_out_begins),0)</f>
        <v>0</v>
      </c>
      <c r="M144" s="1">
        <f>MAX(Table1[[#This Row],[Child Tax Credit]]-Table1[[#This Row],[Child Tax Credit Phase Out]],0)</f>
        <v>5000</v>
      </c>
      <c r="N144" s="1">
        <f>MAX(Table1[[#This Row],[Regular Taxes Owed]]-Table1[[#This Row],[Effective Child Tax Credit]],0)</f>
        <v>0</v>
      </c>
      <c r="O144" s="1">
        <f>MAX(MIN((Table1[[#This Row],[taxable wages]]-3000)*0.15,1000*num_kids_16_younger),0)</f>
        <v>5000</v>
      </c>
      <c r="P144" s="9">
        <f>IF(Table1[[#This Row],[Effective Child Tax Credit]]&gt;Table1[[#This Row],[Regular Taxes Owed]],Table1[[#This Row],[Additional Child Tax Credit ]]-Table1[[#This Row],[Regular Taxes Owed]],0)</f>
        <v>3745</v>
      </c>
      <c r="Q1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1.6146184268336583</v>
      </c>
      <c r="R144" s="1">
        <f>Table1[[#This Row],[Effective Additional Child Tax Credit]]+Table1[[#This Row],[Eitc]]</f>
        <v>3746.6146184268337</v>
      </c>
      <c r="S144" s="9">
        <f>Table1[[#This Row],[Regular Taxes Owed - Effective Child Tax Credit]]-Table1[[#This Row],[Total Credits]]</f>
        <v>-3746.6146184268337</v>
      </c>
      <c r="T144" s="9">
        <f>Table1[[#This Row],[taxable wages]]+interest+dividends+short_term_capital_gains+long_term_capital_gains-(charitable_donations+mortgage_interest)</f>
        <v>53500</v>
      </c>
      <c r="U144" s="9">
        <f>MAX(amt_exemption-amt_exemption_phase_out_rate*MAX(Table1[[#This Row],[taxable wages]]-amt_phase_out_begins,0),0)</f>
        <v>83800</v>
      </c>
      <c r="V1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4" s="1">
        <f>IF(AND(Table1[[#This Row],[AMT Taxes]]&gt;Table1[[#This Row],[Regular Taxes Owed]],Table1[[#This Row],[AMT Taxes]]&gt;0),Table1[[#This Row],[AMT Taxes]]-Table1[[#This Row],[Regular Taxes Owed]],0)</f>
        <v>0</v>
      </c>
      <c r="X144" s="9">
        <f>Table1[[#This Row],[Extra Taxes From Amt]]+Table1[[#This Row],[Federal Taxes Owed (No AMT)]]</f>
        <v>-3746.6146184268337</v>
      </c>
      <c r="Y144" s="9">
        <f>IF(Table1[[#This Row],[taxable wages]]&gt;obamacare_surcharge_amount,obamacare_surcharge_percent*(Table1[[#This Row],[taxable wages]]-obamacare_surcharge_amount),0)</f>
        <v>0</v>
      </c>
      <c r="Z144" s="9">
        <f>Table1[[#This Row],[Federal Taxes Owed (Includes AMT)]]+Table1[[#This Row],[Obamacare surcharge premium]]</f>
        <v>-3746.6146184268337</v>
      </c>
      <c r="AA144" s="9">
        <f>Table1[[#This Row],[taxable wages]]-Table1[[#This Row],[Federal Taxes Owed2]]</f>
        <v>57246.614618426836</v>
      </c>
      <c r="AB144" s="51">
        <f t="shared" si="16"/>
        <v>0.31059762706899163</v>
      </c>
      <c r="AC144" s="41"/>
      <c r="AD144" s="13"/>
      <c r="AE144" s="13"/>
    </row>
    <row r="145" spans="2:31" x14ac:dyDescent="0.3">
      <c r="B145" s="41">
        <f t="shared" si="17"/>
        <v>54000</v>
      </c>
      <c r="C145" s="1">
        <f>Table1[[#This Row],[taxable wages]]</f>
        <v>54000</v>
      </c>
      <c r="D145" s="1">
        <f>Table1[[#This Row],[taxable wages]]+interest+dividends+short_term_capital_gains+long_term_capital_gains</f>
        <v>54000</v>
      </c>
      <c r="E145" s="1">
        <f>MAX(Table1[[#This Row],[earned income for EITC]:[Agi For Eitc Calc]])</f>
        <v>54000</v>
      </c>
      <c r="F145" s="1">
        <f>Table1[[#This Row],[taxable wages]]+interest+dividends+short_term_capital_gains+long_term_capital_gains-(trad_ira_contributions+MIN(student_loan_interest_cap,student_loan_interest))</f>
        <v>54000</v>
      </c>
      <c r="G145" s="1">
        <f t="shared" si="13"/>
        <v>12600</v>
      </c>
      <c r="H145" s="1">
        <f t="shared" si="14"/>
        <v>28350</v>
      </c>
      <c r="I145" s="1">
        <f>MAX(0,Table1[[#This Row],[Agi]]-Table1[[#This Row],[Exemptions]]-Table1[[#This Row],[Effective Deductions]])</f>
        <v>13050</v>
      </c>
      <c r="J1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1305</v>
      </c>
      <c r="K145" s="1">
        <f t="shared" si="15"/>
        <v>5000</v>
      </c>
      <c r="L145" s="1">
        <f>IF(Table1[[#This Row],[Agi]]&gt;ctc_phase_out_begins,ctc_phase_out_rate*(Table1[[#This Row],[Agi]]-ctc_phase_out_begins),0)</f>
        <v>0</v>
      </c>
      <c r="M145" s="1">
        <f>MAX(Table1[[#This Row],[Child Tax Credit]]-Table1[[#This Row],[Child Tax Credit Phase Out]],0)</f>
        <v>5000</v>
      </c>
      <c r="N145" s="1">
        <f>MAX(Table1[[#This Row],[Regular Taxes Owed]]-Table1[[#This Row],[Effective Child Tax Credit]],0)</f>
        <v>0</v>
      </c>
      <c r="O145" s="1">
        <f>MAX(MIN((Table1[[#This Row],[taxable wages]]-3000)*0.15,1000*num_kids_16_younger),0)</f>
        <v>5000</v>
      </c>
      <c r="P145" s="9">
        <f>IF(Table1[[#This Row],[Effective Child Tax Credit]]&gt;Table1[[#This Row],[Regular Taxes Owed]],Table1[[#This Row],[Additional Child Tax Credit ]]-Table1[[#This Row],[Regular Taxes Owed]],0)</f>
        <v>3695</v>
      </c>
      <c r="Q1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45" s="1">
        <f>Table1[[#This Row],[Effective Additional Child Tax Credit]]+Table1[[#This Row],[Eitc]]</f>
        <v>3695</v>
      </c>
      <c r="S145" s="9">
        <f>Table1[[#This Row],[Regular Taxes Owed - Effective Child Tax Credit]]-Table1[[#This Row],[Total Credits]]</f>
        <v>-3695</v>
      </c>
      <c r="T145" s="9">
        <f>Table1[[#This Row],[taxable wages]]+interest+dividends+short_term_capital_gains+long_term_capital_gains-(charitable_donations+mortgage_interest)</f>
        <v>54000</v>
      </c>
      <c r="U145" s="9">
        <f>MAX(amt_exemption-amt_exemption_phase_out_rate*MAX(Table1[[#This Row],[taxable wages]]-amt_phase_out_begins,0),0)</f>
        <v>83800</v>
      </c>
      <c r="V1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5" s="1">
        <f>IF(AND(Table1[[#This Row],[AMT Taxes]]&gt;Table1[[#This Row],[Regular Taxes Owed]],Table1[[#This Row],[AMT Taxes]]&gt;0),Table1[[#This Row],[AMT Taxes]]-Table1[[#This Row],[Regular Taxes Owed]],0)</f>
        <v>0</v>
      </c>
      <c r="X145" s="9">
        <f>Table1[[#This Row],[Extra Taxes From Amt]]+Table1[[#This Row],[Federal Taxes Owed (No AMT)]]</f>
        <v>-3695</v>
      </c>
      <c r="Y145" s="9">
        <f>IF(Table1[[#This Row],[taxable wages]]&gt;obamacare_surcharge_amount,obamacare_surcharge_percent*(Table1[[#This Row],[taxable wages]]-obamacare_surcharge_amount),0)</f>
        <v>0</v>
      </c>
      <c r="Z145" s="9">
        <f>Table1[[#This Row],[Federal Taxes Owed (Includes AMT)]]+Table1[[#This Row],[Obamacare surcharge premium]]</f>
        <v>-3695</v>
      </c>
      <c r="AA145" s="9">
        <f>Table1[[#This Row],[taxable wages]]-Table1[[#This Row],[Federal Taxes Owed2]]</f>
        <v>57695</v>
      </c>
      <c r="AB145" s="51">
        <f t="shared" si="16"/>
        <v>0.10322923685366732</v>
      </c>
      <c r="AC145" s="41"/>
      <c r="AD145" s="13"/>
      <c r="AE145" s="13"/>
    </row>
    <row r="146" spans="2:31" x14ac:dyDescent="0.3">
      <c r="B146" s="41">
        <f t="shared" si="17"/>
        <v>54500</v>
      </c>
      <c r="C146" s="1">
        <f>Table1[[#This Row],[taxable wages]]</f>
        <v>54500</v>
      </c>
      <c r="D146" s="1">
        <f>Table1[[#This Row],[taxable wages]]+interest+dividends+short_term_capital_gains+long_term_capital_gains</f>
        <v>54500</v>
      </c>
      <c r="E146" s="1">
        <f>MAX(Table1[[#This Row],[earned income for EITC]:[Agi For Eitc Calc]])</f>
        <v>54500</v>
      </c>
      <c r="F146" s="1">
        <f>Table1[[#This Row],[taxable wages]]+interest+dividends+short_term_capital_gains+long_term_capital_gains-(trad_ira_contributions+MIN(student_loan_interest_cap,student_loan_interest))</f>
        <v>54500</v>
      </c>
      <c r="G146" s="1">
        <f t="shared" si="13"/>
        <v>12600</v>
      </c>
      <c r="H146" s="1">
        <f t="shared" si="14"/>
        <v>28350</v>
      </c>
      <c r="I146" s="1">
        <f>MAX(0,Table1[[#This Row],[Agi]]-Table1[[#This Row],[Exemptions]]-Table1[[#This Row],[Effective Deductions]])</f>
        <v>13550</v>
      </c>
      <c r="J1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1355</v>
      </c>
      <c r="K146" s="1">
        <f t="shared" si="15"/>
        <v>5000</v>
      </c>
      <c r="L146" s="1">
        <f>IF(Table1[[#This Row],[Agi]]&gt;ctc_phase_out_begins,ctc_phase_out_rate*(Table1[[#This Row],[Agi]]-ctc_phase_out_begins),0)</f>
        <v>0</v>
      </c>
      <c r="M146" s="1">
        <f>MAX(Table1[[#This Row],[Child Tax Credit]]-Table1[[#This Row],[Child Tax Credit Phase Out]],0)</f>
        <v>5000</v>
      </c>
      <c r="N146" s="1">
        <f>MAX(Table1[[#This Row],[Regular Taxes Owed]]-Table1[[#This Row],[Effective Child Tax Credit]],0)</f>
        <v>0</v>
      </c>
      <c r="O146" s="1">
        <f>MAX(MIN((Table1[[#This Row],[taxable wages]]-3000)*0.15,1000*num_kids_16_younger),0)</f>
        <v>5000</v>
      </c>
      <c r="P146" s="9">
        <f>IF(Table1[[#This Row],[Effective Child Tax Credit]]&gt;Table1[[#This Row],[Regular Taxes Owed]],Table1[[#This Row],[Additional Child Tax Credit ]]-Table1[[#This Row],[Regular Taxes Owed]],0)</f>
        <v>3645</v>
      </c>
      <c r="Q1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46" s="1">
        <f>Table1[[#This Row],[Effective Additional Child Tax Credit]]+Table1[[#This Row],[Eitc]]</f>
        <v>3645</v>
      </c>
      <c r="S146" s="9">
        <f>Table1[[#This Row],[Regular Taxes Owed - Effective Child Tax Credit]]-Table1[[#This Row],[Total Credits]]</f>
        <v>-3645</v>
      </c>
      <c r="T146" s="9">
        <f>Table1[[#This Row],[taxable wages]]+interest+dividends+short_term_capital_gains+long_term_capital_gains-(charitable_donations+mortgage_interest)</f>
        <v>54500</v>
      </c>
      <c r="U146" s="9">
        <f>MAX(amt_exemption-amt_exemption_phase_out_rate*MAX(Table1[[#This Row],[taxable wages]]-amt_phase_out_begins,0),0)</f>
        <v>83800</v>
      </c>
      <c r="V1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6" s="1">
        <f>IF(AND(Table1[[#This Row],[AMT Taxes]]&gt;Table1[[#This Row],[Regular Taxes Owed]],Table1[[#This Row],[AMT Taxes]]&gt;0),Table1[[#This Row],[AMT Taxes]]-Table1[[#This Row],[Regular Taxes Owed]],0)</f>
        <v>0</v>
      </c>
      <c r="X146" s="9">
        <f>Table1[[#This Row],[Extra Taxes From Amt]]+Table1[[#This Row],[Federal Taxes Owed (No AMT)]]</f>
        <v>-3645</v>
      </c>
      <c r="Y146" s="9">
        <f>IF(Table1[[#This Row],[taxable wages]]&gt;obamacare_surcharge_amount,obamacare_surcharge_percent*(Table1[[#This Row],[taxable wages]]-obamacare_surcharge_amount),0)</f>
        <v>0</v>
      </c>
      <c r="Z146" s="9">
        <f>Table1[[#This Row],[Federal Taxes Owed (Includes AMT)]]+Table1[[#This Row],[Obamacare surcharge premium]]</f>
        <v>-3645</v>
      </c>
      <c r="AA146" s="9">
        <f>Table1[[#This Row],[taxable wages]]-Table1[[#This Row],[Federal Taxes Owed2]]</f>
        <v>58145</v>
      </c>
      <c r="AB146" s="51">
        <f t="shared" si="16"/>
        <v>0.1</v>
      </c>
      <c r="AC146" s="41"/>
      <c r="AD146" s="13"/>
      <c r="AE146" s="13"/>
    </row>
    <row r="147" spans="2:31" x14ac:dyDescent="0.3">
      <c r="B147" s="41">
        <f t="shared" si="17"/>
        <v>55000</v>
      </c>
      <c r="C147" s="1">
        <f>Table1[[#This Row],[taxable wages]]</f>
        <v>55000</v>
      </c>
      <c r="D147" s="1">
        <f>Table1[[#This Row],[taxable wages]]+interest+dividends+short_term_capital_gains+long_term_capital_gains</f>
        <v>55000</v>
      </c>
      <c r="E147" s="1">
        <f>MAX(Table1[[#This Row],[earned income for EITC]:[Agi For Eitc Calc]])</f>
        <v>55000</v>
      </c>
      <c r="F147" s="1">
        <f>Table1[[#This Row],[taxable wages]]+interest+dividends+short_term_capital_gains+long_term_capital_gains-(trad_ira_contributions+MIN(student_loan_interest_cap,student_loan_interest))</f>
        <v>55000</v>
      </c>
      <c r="G147" s="1">
        <f t="shared" si="13"/>
        <v>12600</v>
      </c>
      <c r="H147" s="1">
        <f t="shared" si="14"/>
        <v>28350</v>
      </c>
      <c r="I147" s="1">
        <f>MAX(0,Table1[[#This Row],[Agi]]-Table1[[#This Row],[Exemptions]]-Table1[[#This Row],[Effective Deductions]])</f>
        <v>14050</v>
      </c>
      <c r="J1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1405</v>
      </c>
      <c r="K147" s="1">
        <f t="shared" si="15"/>
        <v>5000</v>
      </c>
      <c r="L147" s="1">
        <f>IF(Table1[[#This Row],[Agi]]&gt;ctc_phase_out_begins,ctc_phase_out_rate*(Table1[[#This Row],[Agi]]-ctc_phase_out_begins),0)</f>
        <v>0</v>
      </c>
      <c r="M147" s="1">
        <f>MAX(Table1[[#This Row],[Child Tax Credit]]-Table1[[#This Row],[Child Tax Credit Phase Out]],0)</f>
        <v>5000</v>
      </c>
      <c r="N147" s="1">
        <f>MAX(Table1[[#This Row],[Regular Taxes Owed]]-Table1[[#This Row],[Effective Child Tax Credit]],0)</f>
        <v>0</v>
      </c>
      <c r="O147" s="1">
        <f>MAX(MIN((Table1[[#This Row],[taxable wages]]-3000)*0.15,1000*num_kids_16_younger),0)</f>
        <v>5000</v>
      </c>
      <c r="P147" s="9">
        <f>IF(Table1[[#This Row],[Effective Child Tax Credit]]&gt;Table1[[#This Row],[Regular Taxes Owed]],Table1[[#This Row],[Additional Child Tax Credit ]]-Table1[[#This Row],[Regular Taxes Owed]],0)</f>
        <v>3595</v>
      </c>
      <c r="Q1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47" s="1">
        <f>Table1[[#This Row],[Effective Additional Child Tax Credit]]+Table1[[#This Row],[Eitc]]</f>
        <v>3595</v>
      </c>
      <c r="S147" s="9">
        <f>Table1[[#This Row],[Regular Taxes Owed - Effective Child Tax Credit]]-Table1[[#This Row],[Total Credits]]</f>
        <v>-3595</v>
      </c>
      <c r="T147" s="9">
        <f>Table1[[#This Row],[taxable wages]]+interest+dividends+short_term_capital_gains+long_term_capital_gains-(charitable_donations+mortgage_interest)</f>
        <v>55000</v>
      </c>
      <c r="U147" s="9">
        <f>MAX(amt_exemption-amt_exemption_phase_out_rate*MAX(Table1[[#This Row],[taxable wages]]-amt_phase_out_begins,0),0)</f>
        <v>83800</v>
      </c>
      <c r="V1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7" s="1">
        <f>IF(AND(Table1[[#This Row],[AMT Taxes]]&gt;Table1[[#This Row],[Regular Taxes Owed]],Table1[[#This Row],[AMT Taxes]]&gt;0),Table1[[#This Row],[AMT Taxes]]-Table1[[#This Row],[Regular Taxes Owed]],0)</f>
        <v>0</v>
      </c>
      <c r="X147" s="9">
        <f>Table1[[#This Row],[Extra Taxes From Amt]]+Table1[[#This Row],[Federal Taxes Owed (No AMT)]]</f>
        <v>-3595</v>
      </c>
      <c r="Y147" s="9">
        <f>IF(Table1[[#This Row],[taxable wages]]&gt;obamacare_surcharge_amount,obamacare_surcharge_percent*(Table1[[#This Row],[taxable wages]]-obamacare_surcharge_amount),0)</f>
        <v>0</v>
      </c>
      <c r="Z147" s="9">
        <f>Table1[[#This Row],[Federal Taxes Owed (Includes AMT)]]+Table1[[#This Row],[Obamacare surcharge premium]]</f>
        <v>-3595</v>
      </c>
      <c r="AA147" s="9">
        <f>Table1[[#This Row],[taxable wages]]-Table1[[#This Row],[Federal Taxes Owed2]]</f>
        <v>58595</v>
      </c>
      <c r="AB147" s="51">
        <f t="shared" si="16"/>
        <v>0.1</v>
      </c>
      <c r="AC147" s="41"/>
      <c r="AD147" s="13"/>
      <c r="AE147" s="13"/>
    </row>
    <row r="148" spans="2:31" x14ac:dyDescent="0.3">
      <c r="B148" s="41">
        <f t="shared" si="17"/>
        <v>55500</v>
      </c>
      <c r="C148" s="1">
        <f>Table1[[#This Row],[taxable wages]]</f>
        <v>55500</v>
      </c>
      <c r="D148" s="1">
        <f>Table1[[#This Row],[taxable wages]]+interest+dividends+short_term_capital_gains+long_term_capital_gains</f>
        <v>55500</v>
      </c>
      <c r="E148" s="1">
        <f>MAX(Table1[[#This Row],[earned income for EITC]:[Agi For Eitc Calc]])</f>
        <v>55500</v>
      </c>
      <c r="F148" s="1">
        <f>Table1[[#This Row],[taxable wages]]+interest+dividends+short_term_capital_gains+long_term_capital_gains-(trad_ira_contributions+MIN(student_loan_interest_cap,student_loan_interest))</f>
        <v>55500</v>
      </c>
      <c r="G148" s="1">
        <f t="shared" si="13"/>
        <v>12600</v>
      </c>
      <c r="H148" s="1">
        <f t="shared" si="14"/>
        <v>28350</v>
      </c>
      <c r="I148" s="1">
        <f>MAX(0,Table1[[#This Row],[Agi]]-Table1[[#This Row],[Exemptions]]-Table1[[#This Row],[Effective Deductions]])</f>
        <v>14550</v>
      </c>
      <c r="J1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1455</v>
      </c>
      <c r="K148" s="1">
        <f t="shared" si="15"/>
        <v>5000</v>
      </c>
      <c r="L148" s="1">
        <f>IF(Table1[[#This Row],[Agi]]&gt;ctc_phase_out_begins,ctc_phase_out_rate*(Table1[[#This Row],[Agi]]-ctc_phase_out_begins),0)</f>
        <v>0</v>
      </c>
      <c r="M148" s="1">
        <f>MAX(Table1[[#This Row],[Child Tax Credit]]-Table1[[#This Row],[Child Tax Credit Phase Out]],0)</f>
        <v>5000</v>
      </c>
      <c r="N148" s="1">
        <f>MAX(Table1[[#This Row],[Regular Taxes Owed]]-Table1[[#This Row],[Effective Child Tax Credit]],0)</f>
        <v>0</v>
      </c>
      <c r="O148" s="1">
        <f>MAX(MIN((Table1[[#This Row],[taxable wages]]-3000)*0.15,1000*num_kids_16_younger),0)</f>
        <v>5000</v>
      </c>
      <c r="P148" s="9">
        <f>IF(Table1[[#This Row],[Effective Child Tax Credit]]&gt;Table1[[#This Row],[Regular Taxes Owed]],Table1[[#This Row],[Additional Child Tax Credit ]]-Table1[[#This Row],[Regular Taxes Owed]],0)</f>
        <v>3545</v>
      </c>
      <c r="Q1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48" s="1">
        <f>Table1[[#This Row],[Effective Additional Child Tax Credit]]+Table1[[#This Row],[Eitc]]</f>
        <v>3545</v>
      </c>
      <c r="S148" s="9">
        <f>Table1[[#This Row],[Regular Taxes Owed - Effective Child Tax Credit]]-Table1[[#This Row],[Total Credits]]</f>
        <v>-3545</v>
      </c>
      <c r="T148" s="9">
        <f>Table1[[#This Row],[taxable wages]]+interest+dividends+short_term_capital_gains+long_term_capital_gains-(charitable_donations+mortgage_interest)</f>
        <v>55500</v>
      </c>
      <c r="U148" s="9">
        <f>MAX(amt_exemption-amt_exemption_phase_out_rate*MAX(Table1[[#This Row],[taxable wages]]-amt_phase_out_begins,0),0)</f>
        <v>83800</v>
      </c>
      <c r="V1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8" s="1">
        <f>IF(AND(Table1[[#This Row],[AMT Taxes]]&gt;Table1[[#This Row],[Regular Taxes Owed]],Table1[[#This Row],[AMT Taxes]]&gt;0),Table1[[#This Row],[AMT Taxes]]-Table1[[#This Row],[Regular Taxes Owed]],0)</f>
        <v>0</v>
      </c>
      <c r="X148" s="9">
        <f>Table1[[#This Row],[Extra Taxes From Amt]]+Table1[[#This Row],[Federal Taxes Owed (No AMT)]]</f>
        <v>-3545</v>
      </c>
      <c r="Y148" s="9">
        <f>IF(Table1[[#This Row],[taxable wages]]&gt;obamacare_surcharge_amount,obamacare_surcharge_percent*(Table1[[#This Row],[taxable wages]]-obamacare_surcharge_amount),0)</f>
        <v>0</v>
      </c>
      <c r="Z148" s="9">
        <f>Table1[[#This Row],[Federal Taxes Owed (Includes AMT)]]+Table1[[#This Row],[Obamacare surcharge premium]]</f>
        <v>-3545</v>
      </c>
      <c r="AA148" s="9">
        <f>Table1[[#This Row],[taxable wages]]-Table1[[#This Row],[Federal Taxes Owed2]]</f>
        <v>59045</v>
      </c>
      <c r="AB148" s="51">
        <f t="shared" si="16"/>
        <v>0.1</v>
      </c>
      <c r="AC148" s="41"/>
      <c r="AD148" s="13"/>
      <c r="AE148" s="13"/>
    </row>
    <row r="149" spans="2:31" x14ac:dyDescent="0.3">
      <c r="B149" s="41">
        <f t="shared" si="17"/>
        <v>56000</v>
      </c>
      <c r="C149" s="1">
        <f>Table1[[#This Row],[taxable wages]]</f>
        <v>56000</v>
      </c>
      <c r="D149" s="1">
        <f>Table1[[#This Row],[taxable wages]]+interest+dividends+short_term_capital_gains+long_term_capital_gains</f>
        <v>56000</v>
      </c>
      <c r="E149" s="1">
        <f>MAX(Table1[[#This Row],[earned income for EITC]:[Agi For Eitc Calc]])</f>
        <v>56000</v>
      </c>
      <c r="F149" s="1">
        <f>Table1[[#This Row],[taxable wages]]+interest+dividends+short_term_capital_gains+long_term_capital_gains-(trad_ira_contributions+MIN(student_loan_interest_cap,student_loan_interest))</f>
        <v>56000</v>
      </c>
      <c r="G149" s="1">
        <f t="shared" si="13"/>
        <v>12600</v>
      </c>
      <c r="H149" s="1">
        <f t="shared" si="14"/>
        <v>28350</v>
      </c>
      <c r="I149" s="1">
        <f>MAX(0,Table1[[#This Row],[Agi]]-Table1[[#This Row],[Exemptions]]-Table1[[#This Row],[Effective Deductions]])</f>
        <v>15050</v>
      </c>
      <c r="J1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1505</v>
      </c>
      <c r="K149" s="1">
        <f t="shared" si="15"/>
        <v>5000</v>
      </c>
      <c r="L149" s="1">
        <f>IF(Table1[[#This Row],[Agi]]&gt;ctc_phase_out_begins,ctc_phase_out_rate*(Table1[[#This Row],[Agi]]-ctc_phase_out_begins),0)</f>
        <v>0</v>
      </c>
      <c r="M149" s="1">
        <f>MAX(Table1[[#This Row],[Child Tax Credit]]-Table1[[#This Row],[Child Tax Credit Phase Out]],0)</f>
        <v>5000</v>
      </c>
      <c r="N149" s="1">
        <f>MAX(Table1[[#This Row],[Regular Taxes Owed]]-Table1[[#This Row],[Effective Child Tax Credit]],0)</f>
        <v>0</v>
      </c>
      <c r="O149" s="1">
        <f>MAX(MIN((Table1[[#This Row],[taxable wages]]-3000)*0.15,1000*num_kids_16_younger),0)</f>
        <v>5000</v>
      </c>
      <c r="P149" s="9">
        <f>IF(Table1[[#This Row],[Effective Child Tax Credit]]&gt;Table1[[#This Row],[Regular Taxes Owed]],Table1[[#This Row],[Additional Child Tax Credit ]]-Table1[[#This Row],[Regular Taxes Owed]],0)</f>
        <v>3495</v>
      </c>
      <c r="Q1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49" s="1">
        <f>Table1[[#This Row],[Effective Additional Child Tax Credit]]+Table1[[#This Row],[Eitc]]</f>
        <v>3495</v>
      </c>
      <c r="S149" s="9">
        <f>Table1[[#This Row],[Regular Taxes Owed - Effective Child Tax Credit]]-Table1[[#This Row],[Total Credits]]</f>
        <v>-3495</v>
      </c>
      <c r="T149" s="9">
        <f>Table1[[#This Row],[taxable wages]]+interest+dividends+short_term_capital_gains+long_term_capital_gains-(charitable_donations+mortgage_interest)</f>
        <v>56000</v>
      </c>
      <c r="U149" s="9">
        <f>MAX(amt_exemption-amt_exemption_phase_out_rate*MAX(Table1[[#This Row],[taxable wages]]-amt_phase_out_begins,0),0)</f>
        <v>83800</v>
      </c>
      <c r="V1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49" s="1">
        <f>IF(AND(Table1[[#This Row],[AMT Taxes]]&gt;Table1[[#This Row],[Regular Taxes Owed]],Table1[[#This Row],[AMT Taxes]]&gt;0),Table1[[#This Row],[AMT Taxes]]-Table1[[#This Row],[Regular Taxes Owed]],0)</f>
        <v>0</v>
      </c>
      <c r="X149" s="9">
        <f>Table1[[#This Row],[Extra Taxes From Amt]]+Table1[[#This Row],[Federal Taxes Owed (No AMT)]]</f>
        <v>-3495</v>
      </c>
      <c r="Y149" s="9">
        <f>IF(Table1[[#This Row],[taxable wages]]&gt;obamacare_surcharge_amount,obamacare_surcharge_percent*(Table1[[#This Row],[taxable wages]]-obamacare_surcharge_amount),0)</f>
        <v>0</v>
      </c>
      <c r="Z149" s="9">
        <f>Table1[[#This Row],[Federal Taxes Owed (Includes AMT)]]+Table1[[#This Row],[Obamacare surcharge premium]]</f>
        <v>-3495</v>
      </c>
      <c r="AA149" s="9">
        <f>Table1[[#This Row],[taxable wages]]-Table1[[#This Row],[Federal Taxes Owed2]]</f>
        <v>59495</v>
      </c>
      <c r="AB149" s="51">
        <f t="shared" si="16"/>
        <v>0.1</v>
      </c>
      <c r="AC149" s="41"/>
      <c r="AD149" s="13"/>
      <c r="AE149" s="13"/>
    </row>
    <row r="150" spans="2:31" x14ac:dyDescent="0.3">
      <c r="B150" s="41">
        <f t="shared" si="17"/>
        <v>56500</v>
      </c>
      <c r="C150" s="1">
        <f>Table1[[#This Row],[taxable wages]]</f>
        <v>56500</v>
      </c>
      <c r="D150" s="1">
        <f>Table1[[#This Row],[taxable wages]]+interest+dividends+short_term_capital_gains+long_term_capital_gains</f>
        <v>56500</v>
      </c>
      <c r="E150" s="1">
        <f>MAX(Table1[[#This Row],[earned income for EITC]:[Agi For Eitc Calc]])</f>
        <v>56500</v>
      </c>
      <c r="F150" s="1">
        <f>Table1[[#This Row],[taxable wages]]+interest+dividends+short_term_capital_gains+long_term_capital_gains-(trad_ira_contributions+MIN(student_loan_interest_cap,student_loan_interest))</f>
        <v>56500</v>
      </c>
      <c r="G150" s="1">
        <f t="shared" si="13"/>
        <v>12600</v>
      </c>
      <c r="H150" s="1">
        <f t="shared" si="14"/>
        <v>28350</v>
      </c>
      <c r="I150" s="1">
        <f>MAX(0,Table1[[#This Row],[Agi]]-Table1[[#This Row],[Exemptions]]-Table1[[#This Row],[Effective Deductions]])</f>
        <v>15550</v>
      </c>
      <c r="J1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1555</v>
      </c>
      <c r="K150" s="1">
        <f t="shared" si="15"/>
        <v>5000</v>
      </c>
      <c r="L150" s="1">
        <f>IF(Table1[[#This Row],[Agi]]&gt;ctc_phase_out_begins,ctc_phase_out_rate*(Table1[[#This Row],[Agi]]-ctc_phase_out_begins),0)</f>
        <v>0</v>
      </c>
      <c r="M150" s="1">
        <f>MAX(Table1[[#This Row],[Child Tax Credit]]-Table1[[#This Row],[Child Tax Credit Phase Out]],0)</f>
        <v>5000</v>
      </c>
      <c r="N150" s="1">
        <f>MAX(Table1[[#This Row],[Regular Taxes Owed]]-Table1[[#This Row],[Effective Child Tax Credit]],0)</f>
        <v>0</v>
      </c>
      <c r="O150" s="1">
        <f>MAX(MIN((Table1[[#This Row],[taxable wages]]-3000)*0.15,1000*num_kids_16_younger),0)</f>
        <v>5000</v>
      </c>
      <c r="P150" s="9">
        <f>IF(Table1[[#This Row],[Effective Child Tax Credit]]&gt;Table1[[#This Row],[Regular Taxes Owed]],Table1[[#This Row],[Additional Child Tax Credit ]]-Table1[[#This Row],[Regular Taxes Owed]],0)</f>
        <v>3445</v>
      </c>
      <c r="Q1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0" s="1">
        <f>Table1[[#This Row],[Effective Additional Child Tax Credit]]+Table1[[#This Row],[Eitc]]</f>
        <v>3445</v>
      </c>
      <c r="S150" s="9">
        <f>Table1[[#This Row],[Regular Taxes Owed - Effective Child Tax Credit]]-Table1[[#This Row],[Total Credits]]</f>
        <v>-3445</v>
      </c>
      <c r="T150" s="9">
        <f>Table1[[#This Row],[taxable wages]]+interest+dividends+short_term_capital_gains+long_term_capital_gains-(charitable_donations+mortgage_interest)</f>
        <v>56500</v>
      </c>
      <c r="U150" s="9">
        <f>MAX(amt_exemption-amt_exemption_phase_out_rate*MAX(Table1[[#This Row],[taxable wages]]-amt_phase_out_begins,0),0)</f>
        <v>83800</v>
      </c>
      <c r="V1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0" s="1">
        <f>IF(AND(Table1[[#This Row],[AMT Taxes]]&gt;Table1[[#This Row],[Regular Taxes Owed]],Table1[[#This Row],[AMT Taxes]]&gt;0),Table1[[#This Row],[AMT Taxes]]-Table1[[#This Row],[Regular Taxes Owed]],0)</f>
        <v>0</v>
      </c>
      <c r="X150" s="9">
        <f>Table1[[#This Row],[Extra Taxes From Amt]]+Table1[[#This Row],[Federal Taxes Owed (No AMT)]]</f>
        <v>-3445</v>
      </c>
      <c r="Y150" s="9">
        <f>IF(Table1[[#This Row],[taxable wages]]&gt;obamacare_surcharge_amount,obamacare_surcharge_percent*(Table1[[#This Row],[taxable wages]]-obamacare_surcharge_amount),0)</f>
        <v>0</v>
      </c>
      <c r="Z150" s="9">
        <f>Table1[[#This Row],[Federal Taxes Owed (Includes AMT)]]+Table1[[#This Row],[Obamacare surcharge premium]]</f>
        <v>-3445</v>
      </c>
      <c r="AA150" s="9">
        <f>Table1[[#This Row],[taxable wages]]-Table1[[#This Row],[Federal Taxes Owed2]]</f>
        <v>59945</v>
      </c>
      <c r="AB150" s="51">
        <f t="shared" si="16"/>
        <v>0.1</v>
      </c>
      <c r="AC150" s="41"/>
      <c r="AD150" s="13"/>
      <c r="AE150" s="13"/>
    </row>
    <row r="151" spans="2:31" x14ac:dyDescent="0.3">
      <c r="B151" s="41">
        <f t="shared" si="17"/>
        <v>57000</v>
      </c>
      <c r="C151" s="1">
        <f>Table1[[#This Row],[taxable wages]]</f>
        <v>57000</v>
      </c>
      <c r="D151" s="1">
        <f>Table1[[#This Row],[taxable wages]]+interest+dividends+short_term_capital_gains+long_term_capital_gains</f>
        <v>57000</v>
      </c>
      <c r="E151" s="1">
        <f>MAX(Table1[[#This Row],[earned income for EITC]:[Agi For Eitc Calc]])</f>
        <v>57000</v>
      </c>
      <c r="F151" s="1">
        <f>Table1[[#This Row],[taxable wages]]+interest+dividends+short_term_capital_gains+long_term_capital_gains-(trad_ira_contributions+MIN(student_loan_interest_cap,student_loan_interest))</f>
        <v>57000</v>
      </c>
      <c r="G151" s="1">
        <f t="shared" si="13"/>
        <v>12600</v>
      </c>
      <c r="H151" s="1">
        <f t="shared" si="14"/>
        <v>28350</v>
      </c>
      <c r="I151" s="1">
        <f>MAX(0,Table1[[#This Row],[Agi]]-Table1[[#This Row],[Exemptions]]-Table1[[#This Row],[Effective Deductions]])</f>
        <v>16050</v>
      </c>
      <c r="J1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1605</v>
      </c>
      <c r="K151" s="1">
        <f t="shared" si="15"/>
        <v>5000</v>
      </c>
      <c r="L151" s="1">
        <f>IF(Table1[[#This Row],[Agi]]&gt;ctc_phase_out_begins,ctc_phase_out_rate*(Table1[[#This Row],[Agi]]-ctc_phase_out_begins),0)</f>
        <v>0</v>
      </c>
      <c r="M151" s="1">
        <f>MAX(Table1[[#This Row],[Child Tax Credit]]-Table1[[#This Row],[Child Tax Credit Phase Out]],0)</f>
        <v>5000</v>
      </c>
      <c r="N151" s="1">
        <f>MAX(Table1[[#This Row],[Regular Taxes Owed]]-Table1[[#This Row],[Effective Child Tax Credit]],0)</f>
        <v>0</v>
      </c>
      <c r="O151" s="1">
        <f>MAX(MIN((Table1[[#This Row],[taxable wages]]-3000)*0.15,1000*num_kids_16_younger),0)</f>
        <v>5000</v>
      </c>
      <c r="P151" s="9">
        <f>IF(Table1[[#This Row],[Effective Child Tax Credit]]&gt;Table1[[#This Row],[Regular Taxes Owed]],Table1[[#This Row],[Additional Child Tax Credit ]]-Table1[[#This Row],[Regular Taxes Owed]],0)</f>
        <v>3395</v>
      </c>
      <c r="Q1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1" s="1">
        <f>Table1[[#This Row],[Effective Additional Child Tax Credit]]+Table1[[#This Row],[Eitc]]</f>
        <v>3395</v>
      </c>
      <c r="S151" s="9">
        <f>Table1[[#This Row],[Regular Taxes Owed - Effective Child Tax Credit]]-Table1[[#This Row],[Total Credits]]</f>
        <v>-3395</v>
      </c>
      <c r="T151" s="9">
        <f>Table1[[#This Row],[taxable wages]]+interest+dividends+short_term_capital_gains+long_term_capital_gains-(charitable_donations+mortgage_interest)</f>
        <v>57000</v>
      </c>
      <c r="U151" s="9">
        <f>MAX(amt_exemption-amt_exemption_phase_out_rate*MAX(Table1[[#This Row],[taxable wages]]-amt_phase_out_begins,0),0)</f>
        <v>83800</v>
      </c>
      <c r="V1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1" s="1">
        <f>IF(AND(Table1[[#This Row],[AMT Taxes]]&gt;Table1[[#This Row],[Regular Taxes Owed]],Table1[[#This Row],[AMT Taxes]]&gt;0),Table1[[#This Row],[AMT Taxes]]-Table1[[#This Row],[Regular Taxes Owed]],0)</f>
        <v>0</v>
      </c>
      <c r="X151" s="9">
        <f>Table1[[#This Row],[Extra Taxes From Amt]]+Table1[[#This Row],[Federal Taxes Owed (No AMT)]]</f>
        <v>-3395</v>
      </c>
      <c r="Y151" s="9">
        <f>IF(Table1[[#This Row],[taxable wages]]&gt;obamacare_surcharge_amount,obamacare_surcharge_percent*(Table1[[#This Row],[taxable wages]]-obamacare_surcharge_amount),0)</f>
        <v>0</v>
      </c>
      <c r="Z151" s="9">
        <f>Table1[[#This Row],[Federal Taxes Owed (Includes AMT)]]+Table1[[#This Row],[Obamacare surcharge premium]]</f>
        <v>-3395</v>
      </c>
      <c r="AA151" s="9">
        <f>Table1[[#This Row],[taxable wages]]-Table1[[#This Row],[Federal Taxes Owed2]]</f>
        <v>60395</v>
      </c>
      <c r="AB151" s="51">
        <f t="shared" si="16"/>
        <v>0.1</v>
      </c>
      <c r="AC151" s="41"/>
      <c r="AD151" s="13"/>
      <c r="AE151" s="13"/>
    </row>
    <row r="152" spans="2:31" x14ac:dyDescent="0.3">
      <c r="B152" s="41">
        <f t="shared" si="17"/>
        <v>57500</v>
      </c>
      <c r="C152" s="1">
        <f>Table1[[#This Row],[taxable wages]]</f>
        <v>57500</v>
      </c>
      <c r="D152" s="1">
        <f>Table1[[#This Row],[taxable wages]]+interest+dividends+short_term_capital_gains+long_term_capital_gains</f>
        <v>57500</v>
      </c>
      <c r="E152" s="1">
        <f>MAX(Table1[[#This Row],[earned income for EITC]:[Agi For Eitc Calc]])</f>
        <v>57500</v>
      </c>
      <c r="F152" s="1">
        <f>Table1[[#This Row],[taxable wages]]+interest+dividends+short_term_capital_gains+long_term_capital_gains-(trad_ira_contributions+MIN(student_loan_interest_cap,student_loan_interest))</f>
        <v>57500</v>
      </c>
      <c r="G152" s="1">
        <f t="shared" si="13"/>
        <v>12600</v>
      </c>
      <c r="H152" s="1">
        <f t="shared" si="14"/>
        <v>28350</v>
      </c>
      <c r="I152" s="1">
        <f>MAX(0,Table1[[#This Row],[Agi]]-Table1[[#This Row],[Exemptions]]-Table1[[#This Row],[Effective Deductions]])</f>
        <v>16550</v>
      </c>
      <c r="J1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1655</v>
      </c>
      <c r="K152" s="1">
        <f t="shared" si="15"/>
        <v>5000</v>
      </c>
      <c r="L152" s="1">
        <f>IF(Table1[[#This Row],[Agi]]&gt;ctc_phase_out_begins,ctc_phase_out_rate*(Table1[[#This Row],[Agi]]-ctc_phase_out_begins),0)</f>
        <v>0</v>
      </c>
      <c r="M152" s="1">
        <f>MAX(Table1[[#This Row],[Child Tax Credit]]-Table1[[#This Row],[Child Tax Credit Phase Out]],0)</f>
        <v>5000</v>
      </c>
      <c r="N152" s="1">
        <f>MAX(Table1[[#This Row],[Regular Taxes Owed]]-Table1[[#This Row],[Effective Child Tax Credit]],0)</f>
        <v>0</v>
      </c>
      <c r="O152" s="1">
        <f>MAX(MIN((Table1[[#This Row],[taxable wages]]-3000)*0.15,1000*num_kids_16_younger),0)</f>
        <v>5000</v>
      </c>
      <c r="P152" s="9">
        <f>IF(Table1[[#This Row],[Effective Child Tax Credit]]&gt;Table1[[#This Row],[Regular Taxes Owed]],Table1[[#This Row],[Additional Child Tax Credit ]]-Table1[[#This Row],[Regular Taxes Owed]],0)</f>
        <v>3345</v>
      </c>
      <c r="Q1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2" s="1">
        <f>Table1[[#This Row],[Effective Additional Child Tax Credit]]+Table1[[#This Row],[Eitc]]</f>
        <v>3345</v>
      </c>
      <c r="S152" s="9">
        <f>Table1[[#This Row],[Regular Taxes Owed - Effective Child Tax Credit]]-Table1[[#This Row],[Total Credits]]</f>
        <v>-3345</v>
      </c>
      <c r="T152" s="9">
        <f>Table1[[#This Row],[taxable wages]]+interest+dividends+short_term_capital_gains+long_term_capital_gains-(charitable_donations+mortgage_interest)</f>
        <v>57500</v>
      </c>
      <c r="U152" s="9">
        <f>MAX(amt_exemption-amt_exemption_phase_out_rate*MAX(Table1[[#This Row],[taxable wages]]-amt_phase_out_begins,0),0)</f>
        <v>83800</v>
      </c>
      <c r="V1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2" s="1">
        <f>IF(AND(Table1[[#This Row],[AMT Taxes]]&gt;Table1[[#This Row],[Regular Taxes Owed]],Table1[[#This Row],[AMT Taxes]]&gt;0),Table1[[#This Row],[AMT Taxes]]-Table1[[#This Row],[Regular Taxes Owed]],0)</f>
        <v>0</v>
      </c>
      <c r="X152" s="9">
        <f>Table1[[#This Row],[Extra Taxes From Amt]]+Table1[[#This Row],[Federal Taxes Owed (No AMT)]]</f>
        <v>-3345</v>
      </c>
      <c r="Y152" s="9">
        <f>IF(Table1[[#This Row],[taxable wages]]&gt;obamacare_surcharge_amount,obamacare_surcharge_percent*(Table1[[#This Row],[taxable wages]]-obamacare_surcharge_amount),0)</f>
        <v>0</v>
      </c>
      <c r="Z152" s="9">
        <f>Table1[[#This Row],[Federal Taxes Owed (Includes AMT)]]+Table1[[#This Row],[Obamacare surcharge premium]]</f>
        <v>-3345</v>
      </c>
      <c r="AA152" s="9">
        <f>Table1[[#This Row],[taxable wages]]-Table1[[#This Row],[Federal Taxes Owed2]]</f>
        <v>60845</v>
      </c>
      <c r="AB152" s="51">
        <f t="shared" si="16"/>
        <v>0.1</v>
      </c>
      <c r="AC152" s="41"/>
      <c r="AD152" s="13"/>
      <c r="AE152" s="13"/>
    </row>
    <row r="153" spans="2:31" x14ac:dyDescent="0.3">
      <c r="B153" s="41">
        <f t="shared" si="17"/>
        <v>58000</v>
      </c>
      <c r="C153" s="1">
        <f>Table1[[#This Row],[taxable wages]]</f>
        <v>58000</v>
      </c>
      <c r="D153" s="1">
        <f>Table1[[#This Row],[taxable wages]]+interest+dividends+short_term_capital_gains+long_term_capital_gains</f>
        <v>58000</v>
      </c>
      <c r="E153" s="1">
        <f>MAX(Table1[[#This Row],[earned income for EITC]:[Agi For Eitc Calc]])</f>
        <v>58000</v>
      </c>
      <c r="F153" s="1">
        <f>Table1[[#This Row],[taxable wages]]+interest+dividends+short_term_capital_gains+long_term_capital_gains-(trad_ira_contributions+MIN(student_loan_interest_cap,student_loan_interest))</f>
        <v>58000</v>
      </c>
      <c r="G153" s="1">
        <f t="shared" si="13"/>
        <v>12600</v>
      </c>
      <c r="H153" s="1">
        <f t="shared" si="14"/>
        <v>28350</v>
      </c>
      <c r="I153" s="1">
        <f>MAX(0,Table1[[#This Row],[Agi]]-Table1[[#This Row],[Exemptions]]-Table1[[#This Row],[Effective Deductions]])</f>
        <v>17050</v>
      </c>
      <c r="J1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1705</v>
      </c>
      <c r="K153" s="1">
        <f t="shared" si="15"/>
        <v>5000</v>
      </c>
      <c r="L153" s="1">
        <f>IF(Table1[[#This Row],[Agi]]&gt;ctc_phase_out_begins,ctc_phase_out_rate*(Table1[[#This Row],[Agi]]-ctc_phase_out_begins),0)</f>
        <v>0</v>
      </c>
      <c r="M153" s="1">
        <f>MAX(Table1[[#This Row],[Child Tax Credit]]-Table1[[#This Row],[Child Tax Credit Phase Out]],0)</f>
        <v>5000</v>
      </c>
      <c r="N153" s="1">
        <f>MAX(Table1[[#This Row],[Regular Taxes Owed]]-Table1[[#This Row],[Effective Child Tax Credit]],0)</f>
        <v>0</v>
      </c>
      <c r="O153" s="1">
        <f>MAX(MIN((Table1[[#This Row],[taxable wages]]-3000)*0.15,1000*num_kids_16_younger),0)</f>
        <v>5000</v>
      </c>
      <c r="P153" s="9">
        <f>IF(Table1[[#This Row],[Effective Child Tax Credit]]&gt;Table1[[#This Row],[Regular Taxes Owed]],Table1[[#This Row],[Additional Child Tax Credit ]]-Table1[[#This Row],[Regular Taxes Owed]],0)</f>
        <v>3295</v>
      </c>
      <c r="Q1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3" s="1">
        <f>Table1[[#This Row],[Effective Additional Child Tax Credit]]+Table1[[#This Row],[Eitc]]</f>
        <v>3295</v>
      </c>
      <c r="S153" s="9">
        <f>Table1[[#This Row],[Regular Taxes Owed - Effective Child Tax Credit]]-Table1[[#This Row],[Total Credits]]</f>
        <v>-3295</v>
      </c>
      <c r="T153" s="9">
        <f>Table1[[#This Row],[taxable wages]]+interest+dividends+short_term_capital_gains+long_term_capital_gains-(charitable_donations+mortgage_interest)</f>
        <v>58000</v>
      </c>
      <c r="U153" s="9">
        <f>MAX(amt_exemption-amt_exemption_phase_out_rate*MAX(Table1[[#This Row],[taxable wages]]-amt_phase_out_begins,0),0)</f>
        <v>83800</v>
      </c>
      <c r="V1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3" s="1">
        <f>IF(AND(Table1[[#This Row],[AMT Taxes]]&gt;Table1[[#This Row],[Regular Taxes Owed]],Table1[[#This Row],[AMT Taxes]]&gt;0),Table1[[#This Row],[AMT Taxes]]-Table1[[#This Row],[Regular Taxes Owed]],0)</f>
        <v>0</v>
      </c>
      <c r="X153" s="9">
        <f>Table1[[#This Row],[Extra Taxes From Amt]]+Table1[[#This Row],[Federal Taxes Owed (No AMT)]]</f>
        <v>-3295</v>
      </c>
      <c r="Y153" s="9">
        <f>IF(Table1[[#This Row],[taxable wages]]&gt;obamacare_surcharge_amount,obamacare_surcharge_percent*(Table1[[#This Row],[taxable wages]]-obamacare_surcharge_amount),0)</f>
        <v>0</v>
      </c>
      <c r="Z153" s="9">
        <f>Table1[[#This Row],[Federal Taxes Owed (Includes AMT)]]+Table1[[#This Row],[Obamacare surcharge premium]]</f>
        <v>-3295</v>
      </c>
      <c r="AA153" s="9">
        <f>Table1[[#This Row],[taxable wages]]-Table1[[#This Row],[Federal Taxes Owed2]]</f>
        <v>61295</v>
      </c>
      <c r="AB153" s="51">
        <f t="shared" si="16"/>
        <v>0.1</v>
      </c>
      <c r="AC153" s="41"/>
      <c r="AD153" s="13"/>
      <c r="AE153" s="13"/>
    </row>
    <row r="154" spans="2:31" x14ac:dyDescent="0.3">
      <c r="B154" s="41">
        <f t="shared" si="17"/>
        <v>58500</v>
      </c>
      <c r="C154" s="1">
        <f>Table1[[#This Row],[taxable wages]]</f>
        <v>58500</v>
      </c>
      <c r="D154" s="1">
        <f>Table1[[#This Row],[taxable wages]]+interest+dividends+short_term_capital_gains+long_term_capital_gains</f>
        <v>58500</v>
      </c>
      <c r="E154" s="1">
        <f>MAX(Table1[[#This Row],[earned income for EITC]:[Agi For Eitc Calc]])</f>
        <v>58500</v>
      </c>
      <c r="F154" s="1">
        <f>Table1[[#This Row],[taxable wages]]+interest+dividends+short_term_capital_gains+long_term_capital_gains-(trad_ira_contributions+MIN(student_loan_interest_cap,student_loan_interest))</f>
        <v>58500</v>
      </c>
      <c r="G154" s="1">
        <f t="shared" si="13"/>
        <v>12600</v>
      </c>
      <c r="H154" s="1">
        <f t="shared" si="14"/>
        <v>28350</v>
      </c>
      <c r="I154" s="1">
        <f>MAX(0,Table1[[#This Row],[Agi]]-Table1[[#This Row],[Exemptions]]-Table1[[#This Row],[Effective Deductions]])</f>
        <v>17550</v>
      </c>
      <c r="J1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1755</v>
      </c>
      <c r="K154" s="1">
        <f t="shared" si="15"/>
        <v>5000</v>
      </c>
      <c r="L154" s="1">
        <f>IF(Table1[[#This Row],[Agi]]&gt;ctc_phase_out_begins,ctc_phase_out_rate*(Table1[[#This Row],[Agi]]-ctc_phase_out_begins),0)</f>
        <v>0</v>
      </c>
      <c r="M154" s="1">
        <f>MAX(Table1[[#This Row],[Child Tax Credit]]-Table1[[#This Row],[Child Tax Credit Phase Out]],0)</f>
        <v>5000</v>
      </c>
      <c r="N154" s="1">
        <f>MAX(Table1[[#This Row],[Regular Taxes Owed]]-Table1[[#This Row],[Effective Child Tax Credit]],0)</f>
        <v>0</v>
      </c>
      <c r="O154" s="1">
        <f>MAX(MIN((Table1[[#This Row],[taxable wages]]-3000)*0.15,1000*num_kids_16_younger),0)</f>
        <v>5000</v>
      </c>
      <c r="P154" s="9">
        <f>IF(Table1[[#This Row],[Effective Child Tax Credit]]&gt;Table1[[#This Row],[Regular Taxes Owed]],Table1[[#This Row],[Additional Child Tax Credit ]]-Table1[[#This Row],[Regular Taxes Owed]],0)</f>
        <v>3245</v>
      </c>
      <c r="Q1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4" s="1">
        <f>Table1[[#This Row],[Effective Additional Child Tax Credit]]+Table1[[#This Row],[Eitc]]</f>
        <v>3245</v>
      </c>
      <c r="S154" s="9">
        <f>Table1[[#This Row],[Regular Taxes Owed - Effective Child Tax Credit]]-Table1[[#This Row],[Total Credits]]</f>
        <v>-3245</v>
      </c>
      <c r="T154" s="9">
        <f>Table1[[#This Row],[taxable wages]]+interest+dividends+short_term_capital_gains+long_term_capital_gains-(charitable_donations+mortgage_interest)</f>
        <v>58500</v>
      </c>
      <c r="U154" s="9">
        <f>MAX(amt_exemption-amt_exemption_phase_out_rate*MAX(Table1[[#This Row],[taxable wages]]-amt_phase_out_begins,0),0)</f>
        <v>83800</v>
      </c>
      <c r="V1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4" s="1">
        <f>IF(AND(Table1[[#This Row],[AMT Taxes]]&gt;Table1[[#This Row],[Regular Taxes Owed]],Table1[[#This Row],[AMT Taxes]]&gt;0),Table1[[#This Row],[AMT Taxes]]-Table1[[#This Row],[Regular Taxes Owed]],0)</f>
        <v>0</v>
      </c>
      <c r="X154" s="9">
        <f>Table1[[#This Row],[Extra Taxes From Amt]]+Table1[[#This Row],[Federal Taxes Owed (No AMT)]]</f>
        <v>-3245</v>
      </c>
      <c r="Y154" s="9">
        <f>IF(Table1[[#This Row],[taxable wages]]&gt;obamacare_surcharge_amount,obamacare_surcharge_percent*(Table1[[#This Row],[taxable wages]]-obamacare_surcharge_amount),0)</f>
        <v>0</v>
      </c>
      <c r="Z154" s="9">
        <f>Table1[[#This Row],[Federal Taxes Owed (Includes AMT)]]+Table1[[#This Row],[Obamacare surcharge premium]]</f>
        <v>-3245</v>
      </c>
      <c r="AA154" s="9">
        <f>Table1[[#This Row],[taxable wages]]-Table1[[#This Row],[Federal Taxes Owed2]]</f>
        <v>61745</v>
      </c>
      <c r="AB154" s="51">
        <f t="shared" si="16"/>
        <v>0.1</v>
      </c>
      <c r="AC154" s="41"/>
      <c r="AD154" s="13"/>
      <c r="AE154" s="13"/>
    </row>
    <row r="155" spans="2:31" x14ac:dyDescent="0.3">
      <c r="B155" s="41">
        <f t="shared" si="17"/>
        <v>59000</v>
      </c>
      <c r="C155" s="1">
        <f>Table1[[#This Row],[taxable wages]]</f>
        <v>59000</v>
      </c>
      <c r="D155" s="1">
        <f>Table1[[#This Row],[taxable wages]]+interest+dividends+short_term_capital_gains+long_term_capital_gains</f>
        <v>59000</v>
      </c>
      <c r="E155" s="1">
        <f>MAX(Table1[[#This Row],[earned income for EITC]:[Agi For Eitc Calc]])</f>
        <v>59000</v>
      </c>
      <c r="F155" s="1">
        <f>Table1[[#This Row],[taxable wages]]+interest+dividends+short_term_capital_gains+long_term_capital_gains-(trad_ira_contributions+MIN(student_loan_interest_cap,student_loan_interest))</f>
        <v>59000</v>
      </c>
      <c r="G155" s="1">
        <f t="shared" si="13"/>
        <v>12600</v>
      </c>
      <c r="H155" s="1">
        <f t="shared" si="14"/>
        <v>28350</v>
      </c>
      <c r="I155" s="1">
        <f>MAX(0,Table1[[#This Row],[Agi]]-Table1[[#This Row],[Exemptions]]-Table1[[#This Row],[Effective Deductions]])</f>
        <v>18050</v>
      </c>
      <c r="J1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1805</v>
      </c>
      <c r="K155" s="1">
        <f t="shared" si="15"/>
        <v>5000</v>
      </c>
      <c r="L155" s="1">
        <f>IF(Table1[[#This Row],[Agi]]&gt;ctc_phase_out_begins,ctc_phase_out_rate*(Table1[[#This Row],[Agi]]-ctc_phase_out_begins),0)</f>
        <v>0</v>
      </c>
      <c r="M155" s="1">
        <f>MAX(Table1[[#This Row],[Child Tax Credit]]-Table1[[#This Row],[Child Tax Credit Phase Out]],0)</f>
        <v>5000</v>
      </c>
      <c r="N155" s="1">
        <f>MAX(Table1[[#This Row],[Regular Taxes Owed]]-Table1[[#This Row],[Effective Child Tax Credit]],0)</f>
        <v>0</v>
      </c>
      <c r="O155" s="1">
        <f>MAX(MIN((Table1[[#This Row],[taxable wages]]-3000)*0.15,1000*num_kids_16_younger),0)</f>
        <v>5000</v>
      </c>
      <c r="P155" s="9">
        <f>IF(Table1[[#This Row],[Effective Child Tax Credit]]&gt;Table1[[#This Row],[Regular Taxes Owed]],Table1[[#This Row],[Additional Child Tax Credit ]]-Table1[[#This Row],[Regular Taxes Owed]],0)</f>
        <v>3195</v>
      </c>
      <c r="Q1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5" s="1">
        <f>Table1[[#This Row],[Effective Additional Child Tax Credit]]+Table1[[#This Row],[Eitc]]</f>
        <v>3195</v>
      </c>
      <c r="S155" s="9">
        <f>Table1[[#This Row],[Regular Taxes Owed - Effective Child Tax Credit]]-Table1[[#This Row],[Total Credits]]</f>
        <v>-3195</v>
      </c>
      <c r="T155" s="9">
        <f>Table1[[#This Row],[taxable wages]]+interest+dividends+short_term_capital_gains+long_term_capital_gains-(charitable_donations+mortgage_interest)</f>
        <v>59000</v>
      </c>
      <c r="U155" s="9">
        <f>MAX(amt_exemption-amt_exemption_phase_out_rate*MAX(Table1[[#This Row],[taxable wages]]-amt_phase_out_begins,0),0)</f>
        <v>83800</v>
      </c>
      <c r="V1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5" s="1">
        <f>IF(AND(Table1[[#This Row],[AMT Taxes]]&gt;Table1[[#This Row],[Regular Taxes Owed]],Table1[[#This Row],[AMT Taxes]]&gt;0),Table1[[#This Row],[AMT Taxes]]-Table1[[#This Row],[Regular Taxes Owed]],0)</f>
        <v>0</v>
      </c>
      <c r="X155" s="9">
        <f>Table1[[#This Row],[Extra Taxes From Amt]]+Table1[[#This Row],[Federal Taxes Owed (No AMT)]]</f>
        <v>-3195</v>
      </c>
      <c r="Y155" s="9">
        <f>IF(Table1[[#This Row],[taxable wages]]&gt;obamacare_surcharge_amount,obamacare_surcharge_percent*(Table1[[#This Row],[taxable wages]]-obamacare_surcharge_amount),0)</f>
        <v>0</v>
      </c>
      <c r="Z155" s="9">
        <f>Table1[[#This Row],[Federal Taxes Owed (Includes AMT)]]+Table1[[#This Row],[Obamacare surcharge premium]]</f>
        <v>-3195</v>
      </c>
      <c r="AA155" s="9">
        <f>Table1[[#This Row],[taxable wages]]-Table1[[#This Row],[Federal Taxes Owed2]]</f>
        <v>62195</v>
      </c>
      <c r="AB155" s="51">
        <f t="shared" si="16"/>
        <v>0.1</v>
      </c>
      <c r="AC155" s="41"/>
      <c r="AD155" s="13"/>
      <c r="AE155" s="13"/>
    </row>
    <row r="156" spans="2:31" x14ac:dyDescent="0.3">
      <c r="B156" s="41">
        <f t="shared" si="17"/>
        <v>59500</v>
      </c>
      <c r="C156" s="1">
        <f>Table1[[#This Row],[taxable wages]]</f>
        <v>59500</v>
      </c>
      <c r="D156" s="1">
        <f>Table1[[#This Row],[taxable wages]]+interest+dividends+short_term_capital_gains+long_term_capital_gains</f>
        <v>59500</v>
      </c>
      <c r="E156" s="1">
        <f>MAX(Table1[[#This Row],[earned income for EITC]:[Agi For Eitc Calc]])</f>
        <v>59500</v>
      </c>
      <c r="F156" s="1">
        <f>Table1[[#This Row],[taxable wages]]+interest+dividends+short_term_capital_gains+long_term_capital_gains-(trad_ira_contributions+MIN(student_loan_interest_cap,student_loan_interest))</f>
        <v>59500</v>
      </c>
      <c r="G156" s="1">
        <f t="shared" si="13"/>
        <v>12600</v>
      </c>
      <c r="H156" s="1">
        <f t="shared" si="14"/>
        <v>28350</v>
      </c>
      <c r="I156" s="1">
        <f>MAX(0,Table1[[#This Row],[Agi]]-Table1[[#This Row],[Exemptions]]-Table1[[#This Row],[Effective Deductions]])</f>
        <v>18550</v>
      </c>
      <c r="J1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1855</v>
      </c>
      <c r="K156" s="1">
        <f t="shared" si="15"/>
        <v>5000</v>
      </c>
      <c r="L156" s="1">
        <f>IF(Table1[[#This Row],[Agi]]&gt;ctc_phase_out_begins,ctc_phase_out_rate*(Table1[[#This Row],[Agi]]-ctc_phase_out_begins),0)</f>
        <v>0</v>
      </c>
      <c r="M156" s="1">
        <f>MAX(Table1[[#This Row],[Child Tax Credit]]-Table1[[#This Row],[Child Tax Credit Phase Out]],0)</f>
        <v>5000</v>
      </c>
      <c r="N156" s="1">
        <f>MAX(Table1[[#This Row],[Regular Taxes Owed]]-Table1[[#This Row],[Effective Child Tax Credit]],0)</f>
        <v>0</v>
      </c>
      <c r="O156" s="1">
        <f>MAX(MIN((Table1[[#This Row],[taxable wages]]-3000)*0.15,1000*num_kids_16_younger),0)</f>
        <v>5000</v>
      </c>
      <c r="P156" s="9">
        <f>IF(Table1[[#This Row],[Effective Child Tax Credit]]&gt;Table1[[#This Row],[Regular Taxes Owed]],Table1[[#This Row],[Additional Child Tax Credit ]]-Table1[[#This Row],[Regular Taxes Owed]],0)</f>
        <v>3145</v>
      </c>
      <c r="Q1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6" s="1">
        <f>Table1[[#This Row],[Effective Additional Child Tax Credit]]+Table1[[#This Row],[Eitc]]</f>
        <v>3145</v>
      </c>
      <c r="S156" s="9">
        <f>Table1[[#This Row],[Regular Taxes Owed - Effective Child Tax Credit]]-Table1[[#This Row],[Total Credits]]</f>
        <v>-3145</v>
      </c>
      <c r="T156" s="9">
        <f>Table1[[#This Row],[taxable wages]]+interest+dividends+short_term_capital_gains+long_term_capital_gains-(charitable_donations+mortgage_interest)</f>
        <v>59500</v>
      </c>
      <c r="U156" s="9">
        <f>MAX(amt_exemption-amt_exemption_phase_out_rate*MAX(Table1[[#This Row],[taxable wages]]-amt_phase_out_begins,0),0)</f>
        <v>83800</v>
      </c>
      <c r="V1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6" s="1">
        <f>IF(AND(Table1[[#This Row],[AMT Taxes]]&gt;Table1[[#This Row],[Regular Taxes Owed]],Table1[[#This Row],[AMT Taxes]]&gt;0),Table1[[#This Row],[AMT Taxes]]-Table1[[#This Row],[Regular Taxes Owed]],0)</f>
        <v>0</v>
      </c>
      <c r="X156" s="9">
        <f>Table1[[#This Row],[Extra Taxes From Amt]]+Table1[[#This Row],[Federal Taxes Owed (No AMT)]]</f>
        <v>-3145</v>
      </c>
      <c r="Y156" s="9">
        <f>IF(Table1[[#This Row],[taxable wages]]&gt;obamacare_surcharge_amount,obamacare_surcharge_percent*(Table1[[#This Row],[taxable wages]]-obamacare_surcharge_amount),0)</f>
        <v>0</v>
      </c>
      <c r="Z156" s="9">
        <f>Table1[[#This Row],[Federal Taxes Owed (Includes AMT)]]+Table1[[#This Row],[Obamacare surcharge premium]]</f>
        <v>-3145</v>
      </c>
      <c r="AA156" s="9">
        <f>Table1[[#This Row],[taxable wages]]-Table1[[#This Row],[Federal Taxes Owed2]]</f>
        <v>62645</v>
      </c>
      <c r="AB156" s="51">
        <f t="shared" si="16"/>
        <v>0.1</v>
      </c>
      <c r="AC156" s="41"/>
      <c r="AD156" s="13"/>
      <c r="AE156" s="13"/>
    </row>
    <row r="157" spans="2:31" x14ac:dyDescent="0.3">
      <c r="B157" s="41">
        <f t="shared" si="17"/>
        <v>60000</v>
      </c>
      <c r="C157" s="1">
        <f>Table1[[#This Row],[taxable wages]]</f>
        <v>60000</v>
      </c>
      <c r="D157" s="1">
        <f>Table1[[#This Row],[taxable wages]]+interest+dividends+short_term_capital_gains+long_term_capital_gains</f>
        <v>60000</v>
      </c>
      <c r="E157" s="1">
        <f>MAX(Table1[[#This Row],[earned income for EITC]:[Agi For Eitc Calc]])</f>
        <v>60000</v>
      </c>
      <c r="F157" s="1">
        <f>Table1[[#This Row],[taxable wages]]+interest+dividends+short_term_capital_gains+long_term_capital_gains-(trad_ira_contributions+MIN(student_loan_interest_cap,student_loan_interest))</f>
        <v>60000</v>
      </c>
      <c r="G157" s="1">
        <f t="shared" si="13"/>
        <v>12600</v>
      </c>
      <c r="H157" s="1">
        <f t="shared" si="14"/>
        <v>28350</v>
      </c>
      <c r="I157" s="1">
        <f>MAX(0,Table1[[#This Row],[Agi]]-Table1[[#This Row],[Exemptions]]-Table1[[#This Row],[Effective Deductions]])</f>
        <v>19050</v>
      </c>
      <c r="J1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1930</v>
      </c>
      <c r="K157" s="1">
        <f t="shared" si="15"/>
        <v>5000</v>
      </c>
      <c r="L157" s="1">
        <f>IF(Table1[[#This Row],[Agi]]&gt;ctc_phase_out_begins,ctc_phase_out_rate*(Table1[[#This Row],[Agi]]-ctc_phase_out_begins),0)</f>
        <v>0</v>
      </c>
      <c r="M157" s="1">
        <f>MAX(Table1[[#This Row],[Child Tax Credit]]-Table1[[#This Row],[Child Tax Credit Phase Out]],0)</f>
        <v>5000</v>
      </c>
      <c r="N157" s="1">
        <f>MAX(Table1[[#This Row],[Regular Taxes Owed]]-Table1[[#This Row],[Effective Child Tax Credit]],0)</f>
        <v>0</v>
      </c>
      <c r="O157" s="1">
        <f>MAX(MIN((Table1[[#This Row],[taxable wages]]-3000)*0.15,1000*num_kids_16_younger),0)</f>
        <v>5000</v>
      </c>
      <c r="P157" s="9">
        <f>IF(Table1[[#This Row],[Effective Child Tax Credit]]&gt;Table1[[#This Row],[Regular Taxes Owed]],Table1[[#This Row],[Additional Child Tax Credit ]]-Table1[[#This Row],[Regular Taxes Owed]],0)</f>
        <v>3070</v>
      </c>
      <c r="Q1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7" s="1">
        <f>Table1[[#This Row],[Effective Additional Child Tax Credit]]+Table1[[#This Row],[Eitc]]</f>
        <v>3070</v>
      </c>
      <c r="S157" s="9">
        <f>Table1[[#This Row],[Regular Taxes Owed - Effective Child Tax Credit]]-Table1[[#This Row],[Total Credits]]</f>
        <v>-3070</v>
      </c>
      <c r="T157" s="9">
        <f>Table1[[#This Row],[taxable wages]]+interest+dividends+short_term_capital_gains+long_term_capital_gains-(charitable_donations+mortgage_interest)</f>
        <v>60000</v>
      </c>
      <c r="U157" s="9">
        <f>MAX(amt_exemption-amt_exemption_phase_out_rate*MAX(Table1[[#This Row],[taxable wages]]-amt_phase_out_begins,0),0)</f>
        <v>83800</v>
      </c>
      <c r="V1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7" s="1">
        <f>IF(AND(Table1[[#This Row],[AMT Taxes]]&gt;Table1[[#This Row],[Regular Taxes Owed]],Table1[[#This Row],[AMT Taxes]]&gt;0),Table1[[#This Row],[AMT Taxes]]-Table1[[#This Row],[Regular Taxes Owed]],0)</f>
        <v>0</v>
      </c>
      <c r="X157" s="9">
        <f>Table1[[#This Row],[Extra Taxes From Amt]]+Table1[[#This Row],[Federal Taxes Owed (No AMT)]]</f>
        <v>-3070</v>
      </c>
      <c r="Y157" s="9">
        <f>IF(Table1[[#This Row],[taxable wages]]&gt;obamacare_surcharge_amount,obamacare_surcharge_percent*(Table1[[#This Row],[taxable wages]]-obamacare_surcharge_amount),0)</f>
        <v>0</v>
      </c>
      <c r="Z157" s="9">
        <f>Table1[[#This Row],[Federal Taxes Owed (Includes AMT)]]+Table1[[#This Row],[Obamacare surcharge premium]]</f>
        <v>-3070</v>
      </c>
      <c r="AA157" s="9">
        <f>Table1[[#This Row],[taxable wages]]-Table1[[#This Row],[Federal Taxes Owed2]]</f>
        <v>63070</v>
      </c>
      <c r="AB157" s="51">
        <f t="shared" si="16"/>
        <v>0.15</v>
      </c>
      <c r="AC157" s="41"/>
      <c r="AD157" s="13"/>
      <c r="AE157" s="13"/>
    </row>
    <row r="158" spans="2:31" x14ac:dyDescent="0.3">
      <c r="B158" s="41">
        <f t="shared" si="17"/>
        <v>60500</v>
      </c>
      <c r="C158" s="1">
        <f>Table1[[#This Row],[taxable wages]]</f>
        <v>60500</v>
      </c>
      <c r="D158" s="1">
        <f>Table1[[#This Row],[taxable wages]]+interest+dividends+short_term_capital_gains+long_term_capital_gains</f>
        <v>60500</v>
      </c>
      <c r="E158" s="1">
        <f>MAX(Table1[[#This Row],[earned income for EITC]:[Agi For Eitc Calc]])</f>
        <v>60500</v>
      </c>
      <c r="F158" s="1">
        <f>Table1[[#This Row],[taxable wages]]+interest+dividends+short_term_capital_gains+long_term_capital_gains-(trad_ira_contributions+MIN(student_loan_interest_cap,student_loan_interest))</f>
        <v>60500</v>
      </c>
      <c r="G158" s="1">
        <f t="shared" si="13"/>
        <v>12600</v>
      </c>
      <c r="H158" s="1">
        <f t="shared" si="14"/>
        <v>28350</v>
      </c>
      <c r="I158" s="1">
        <f>MAX(0,Table1[[#This Row],[Agi]]-Table1[[#This Row],[Exemptions]]-Table1[[#This Row],[Effective Deductions]])</f>
        <v>19550</v>
      </c>
      <c r="J1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2005</v>
      </c>
      <c r="K158" s="1">
        <f t="shared" si="15"/>
        <v>5000</v>
      </c>
      <c r="L158" s="1">
        <f>IF(Table1[[#This Row],[Agi]]&gt;ctc_phase_out_begins,ctc_phase_out_rate*(Table1[[#This Row],[Agi]]-ctc_phase_out_begins),0)</f>
        <v>0</v>
      </c>
      <c r="M158" s="1">
        <f>MAX(Table1[[#This Row],[Child Tax Credit]]-Table1[[#This Row],[Child Tax Credit Phase Out]],0)</f>
        <v>5000</v>
      </c>
      <c r="N158" s="1">
        <f>MAX(Table1[[#This Row],[Regular Taxes Owed]]-Table1[[#This Row],[Effective Child Tax Credit]],0)</f>
        <v>0</v>
      </c>
      <c r="O158" s="1">
        <f>MAX(MIN((Table1[[#This Row],[taxable wages]]-3000)*0.15,1000*num_kids_16_younger),0)</f>
        <v>5000</v>
      </c>
      <c r="P158" s="9">
        <f>IF(Table1[[#This Row],[Effective Child Tax Credit]]&gt;Table1[[#This Row],[Regular Taxes Owed]],Table1[[#This Row],[Additional Child Tax Credit ]]-Table1[[#This Row],[Regular Taxes Owed]],0)</f>
        <v>2995</v>
      </c>
      <c r="Q1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8" s="1">
        <f>Table1[[#This Row],[Effective Additional Child Tax Credit]]+Table1[[#This Row],[Eitc]]</f>
        <v>2995</v>
      </c>
      <c r="S158" s="9">
        <f>Table1[[#This Row],[Regular Taxes Owed - Effective Child Tax Credit]]-Table1[[#This Row],[Total Credits]]</f>
        <v>-2995</v>
      </c>
      <c r="T158" s="9">
        <f>Table1[[#This Row],[taxable wages]]+interest+dividends+short_term_capital_gains+long_term_capital_gains-(charitable_donations+mortgage_interest)</f>
        <v>60500</v>
      </c>
      <c r="U158" s="9">
        <f>MAX(amt_exemption-amt_exemption_phase_out_rate*MAX(Table1[[#This Row],[taxable wages]]-amt_phase_out_begins,0),0)</f>
        <v>83800</v>
      </c>
      <c r="V1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8" s="1">
        <f>IF(AND(Table1[[#This Row],[AMT Taxes]]&gt;Table1[[#This Row],[Regular Taxes Owed]],Table1[[#This Row],[AMT Taxes]]&gt;0),Table1[[#This Row],[AMT Taxes]]-Table1[[#This Row],[Regular Taxes Owed]],0)</f>
        <v>0</v>
      </c>
      <c r="X158" s="9">
        <f>Table1[[#This Row],[Extra Taxes From Amt]]+Table1[[#This Row],[Federal Taxes Owed (No AMT)]]</f>
        <v>-2995</v>
      </c>
      <c r="Y158" s="9">
        <f>IF(Table1[[#This Row],[taxable wages]]&gt;obamacare_surcharge_amount,obamacare_surcharge_percent*(Table1[[#This Row],[taxable wages]]-obamacare_surcharge_amount),0)</f>
        <v>0</v>
      </c>
      <c r="Z158" s="9">
        <f>Table1[[#This Row],[Federal Taxes Owed (Includes AMT)]]+Table1[[#This Row],[Obamacare surcharge premium]]</f>
        <v>-2995</v>
      </c>
      <c r="AA158" s="9">
        <f>Table1[[#This Row],[taxable wages]]-Table1[[#This Row],[Federal Taxes Owed2]]</f>
        <v>63495</v>
      </c>
      <c r="AB158" s="51">
        <f t="shared" si="16"/>
        <v>0.15</v>
      </c>
      <c r="AC158" s="41"/>
      <c r="AD158" s="13"/>
      <c r="AE158" s="13"/>
    </row>
    <row r="159" spans="2:31" x14ac:dyDescent="0.3">
      <c r="B159" s="41">
        <f t="shared" si="17"/>
        <v>61000</v>
      </c>
      <c r="C159" s="1">
        <f>Table1[[#This Row],[taxable wages]]</f>
        <v>61000</v>
      </c>
      <c r="D159" s="1">
        <f>Table1[[#This Row],[taxable wages]]+interest+dividends+short_term_capital_gains+long_term_capital_gains</f>
        <v>61000</v>
      </c>
      <c r="E159" s="1">
        <f>MAX(Table1[[#This Row],[earned income for EITC]:[Agi For Eitc Calc]])</f>
        <v>61000</v>
      </c>
      <c r="F159" s="1">
        <f>Table1[[#This Row],[taxable wages]]+interest+dividends+short_term_capital_gains+long_term_capital_gains-(trad_ira_contributions+MIN(student_loan_interest_cap,student_loan_interest))</f>
        <v>61000</v>
      </c>
      <c r="G159" s="1">
        <f t="shared" si="13"/>
        <v>12600</v>
      </c>
      <c r="H159" s="1">
        <f t="shared" si="14"/>
        <v>28350</v>
      </c>
      <c r="I159" s="1">
        <f>MAX(0,Table1[[#This Row],[Agi]]-Table1[[#This Row],[Exemptions]]-Table1[[#This Row],[Effective Deductions]])</f>
        <v>20050</v>
      </c>
      <c r="J1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2080</v>
      </c>
      <c r="K159" s="1">
        <f t="shared" si="15"/>
        <v>5000</v>
      </c>
      <c r="L159" s="1">
        <f>IF(Table1[[#This Row],[Agi]]&gt;ctc_phase_out_begins,ctc_phase_out_rate*(Table1[[#This Row],[Agi]]-ctc_phase_out_begins),0)</f>
        <v>0</v>
      </c>
      <c r="M159" s="1">
        <f>MAX(Table1[[#This Row],[Child Tax Credit]]-Table1[[#This Row],[Child Tax Credit Phase Out]],0)</f>
        <v>5000</v>
      </c>
      <c r="N159" s="1">
        <f>MAX(Table1[[#This Row],[Regular Taxes Owed]]-Table1[[#This Row],[Effective Child Tax Credit]],0)</f>
        <v>0</v>
      </c>
      <c r="O159" s="1">
        <f>MAX(MIN((Table1[[#This Row],[taxable wages]]-3000)*0.15,1000*num_kids_16_younger),0)</f>
        <v>5000</v>
      </c>
      <c r="P159" s="9">
        <f>IF(Table1[[#This Row],[Effective Child Tax Credit]]&gt;Table1[[#This Row],[Regular Taxes Owed]],Table1[[#This Row],[Additional Child Tax Credit ]]-Table1[[#This Row],[Regular Taxes Owed]],0)</f>
        <v>2920</v>
      </c>
      <c r="Q1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59" s="1">
        <f>Table1[[#This Row],[Effective Additional Child Tax Credit]]+Table1[[#This Row],[Eitc]]</f>
        <v>2920</v>
      </c>
      <c r="S159" s="9">
        <f>Table1[[#This Row],[Regular Taxes Owed - Effective Child Tax Credit]]-Table1[[#This Row],[Total Credits]]</f>
        <v>-2920</v>
      </c>
      <c r="T159" s="9">
        <f>Table1[[#This Row],[taxable wages]]+interest+dividends+short_term_capital_gains+long_term_capital_gains-(charitable_donations+mortgage_interest)</f>
        <v>61000</v>
      </c>
      <c r="U159" s="9">
        <f>MAX(amt_exemption-amt_exemption_phase_out_rate*MAX(Table1[[#This Row],[taxable wages]]-amt_phase_out_begins,0),0)</f>
        <v>83800</v>
      </c>
      <c r="V1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59" s="1">
        <f>IF(AND(Table1[[#This Row],[AMT Taxes]]&gt;Table1[[#This Row],[Regular Taxes Owed]],Table1[[#This Row],[AMT Taxes]]&gt;0),Table1[[#This Row],[AMT Taxes]]-Table1[[#This Row],[Regular Taxes Owed]],0)</f>
        <v>0</v>
      </c>
      <c r="X159" s="9">
        <f>Table1[[#This Row],[Extra Taxes From Amt]]+Table1[[#This Row],[Federal Taxes Owed (No AMT)]]</f>
        <v>-2920</v>
      </c>
      <c r="Y159" s="9">
        <f>IF(Table1[[#This Row],[taxable wages]]&gt;obamacare_surcharge_amount,obamacare_surcharge_percent*(Table1[[#This Row],[taxable wages]]-obamacare_surcharge_amount),0)</f>
        <v>0</v>
      </c>
      <c r="Z159" s="9">
        <f>Table1[[#This Row],[Federal Taxes Owed (Includes AMT)]]+Table1[[#This Row],[Obamacare surcharge premium]]</f>
        <v>-2920</v>
      </c>
      <c r="AA159" s="9">
        <f>Table1[[#This Row],[taxable wages]]-Table1[[#This Row],[Federal Taxes Owed2]]</f>
        <v>63920</v>
      </c>
      <c r="AB159" s="51">
        <f t="shared" si="16"/>
        <v>0.15</v>
      </c>
      <c r="AC159" s="41"/>
      <c r="AD159" s="13"/>
      <c r="AE159" s="13"/>
    </row>
    <row r="160" spans="2:31" x14ac:dyDescent="0.3">
      <c r="B160" s="41">
        <f t="shared" si="17"/>
        <v>61500</v>
      </c>
      <c r="C160" s="1">
        <f>Table1[[#This Row],[taxable wages]]</f>
        <v>61500</v>
      </c>
      <c r="D160" s="1">
        <f>Table1[[#This Row],[taxable wages]]+interest+dividends+short_term_capital_gains+long_term_capital_gains</f>
        <v>61500</v>
      </c>
      <c r="E160" s="1">
        <f>MAX(Table1[[#This Row],[earned income for EITC]:[Agi For Eitc Calc]])</f>
        <v>61500</v>
      </c>
      <c r="F160" s="1">
        <f>Table1[[#This Row],[taxable wages]]+interest+dividends+short_term_capital_gains+long_term_capital_gains-(trad_ira_contributions+MIN(student_loan_interest_cap,student_loan_interest))</f>
        <v>61500</v>
      </c>
      <c r="G160" s="1">
        <f t="shared" si="13"/>
        <v>12600</v>
      </c>
      <c r="H160" s="1">
        <f t="shared" si="14"/>
        <v>28350</v>
      </c>
      <c r="I160" s="1">
        <f>MAX(0,Table1[[#This Row],[Agi]]-Table1[[#This Row],[Exemptions]]-Table1[[#This Row],[Effective Deductions]])</f>
        <v>20550</v>
      </c>
      <c r="J1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2155</v>
      </c>
      <c r="K160" s="1">
        <f t="shared" si="15"/>
        <v>5000</v>
      </c>
      <c r="L160" s="1">
        <f>IF(Table1[[#This Row],[Agi]]&gt;ctc_phase_out_begins,ctc_phase_out_rate*(Table1[[#This Row],[Agi]]-ctc_phase_out_begins),0)</f>
        <v>0</v>
      </c>
      <c r="M160" s="1">
        <f>MAX(Table1[[#This Row],[Child Tax Credit]]-Table1[[#This Row],[Child Tax Credit Phase Out]],0)</f>
        <v>5000</v>
      </c>
      <c r="N160" s="1">
        <f>MAX(Table1[[#This Row],[Regular Taxes Owed]]-Table1[[#This Row],[Effective Child Tax Credit]],0)</f>
        <v>0</v>
      </c>
      <c r="O160" s="1">
        <f>MAX(MIN((Table1[[#This Row],[taxable wages]]-3000)*0.15,1000*num_kids_16_younger),0)</f>
        <v>5000</v>
      </c>
      <c r="P160" s="9">
        <f>IF(Table1[[#This Row],[Effective Child Tax Credit]]&gt;Table1[[#This Row],[Regular Taxes Owed]],Table1[[#This Row],[Additional Child Tax Credit ]]-Table1[[#This Row],[Regular Taxes Owed]],0)</f>
        <v>2845</v>
      </c>
      <c r="Q1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0" s="1">
        <f>Table1[[#This Row],[Effective Additional Child Tax Credit]]+Table1[[#This Row],[Eitc]]</f>
        <v>2845</v>
      </c>
      <c r="S160" s="9">
        <f>Table1[[#This Row],[Regular Taxes Owed - Effective Child Tax Credit]]-Table1[[#This Row],[Total Credits]]</f>
        <v>-2845</v>
      </c>
      <c r="T160" s="9">
        <f>Table1[[#This Row],[taxable wages]]+interest+dividends+short_term_capital_gains+long_term_capital_gains-(charitable_donations+mortgage_interest)</f>
        <v>61500</v>
      </c>
      <c r="U160" s="9">
        <f>MAX(amt_exemption-amt_exemption_phase_out_rate*MAX(Table1[[#This Row],[taxable wages]]-amt_phase_out_begins,0),0)</f>
        <v>83800</v>
      </c>
      <c r="V1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0" s="1">
        <f>IF(AND(Table1[[#This Row],[AMT Taxes]]&gt;Table1[[#This Row],[Regular Taxes Owed]],Table1[[#This Row],[AMT Taxes]]&gt;0),Table1[[#This Row],[AMT Taxes]]-Table1[[#This Row],[Regular Taxes Owed]],0)</f>
        <v>0</v>
      </c>
      <c r="X160" s="9">
        <f>Table1[[#This Row],[Extra Taxes From Amt]]+Table1[[#This Row],[Federal Taxes Owed (No AMT)]]</f>
        <v>-2845</v>
      </c>
      <c r="Y160" s="9">
        <f>IF(Table1[[#This Row],[taxable wages]]&gt;obamacare_surcharge_amount,obamacare_surcharge_percent*(Table1[[#This Row],[taxable wages]]-obamacare_surcharge_amount),0)</f>
        <v>0</v>
      </c>
      <c r="Z160" s="9">
        <f>Table1[[#This Row],[Federal Taxes Owed (Includes AMT)]]+Table1[[#This Row],[Obamacare surcharge premium]]</f>
        <v>-2845</v>
      </c>
      <c r="AA160" s="9">
        <f>Table1[[#This Row],[taxable wages]]-Table1[[#This Row],[Federal Taxes Owed2]]</f>
        <v>64345</v>
      </c>
      <c r="AB160" s="51">
        <f t="shared" si="16"/>
        <v>0.15</v>
      </c>
      <c r="AC160" s="41"/>
      <c r="AD160" s="13"/>
      <c r="AE160" s="13"/>
    </row>
    <row r="161" spans="2:31" x14ac:dyDescent="0.3">
      <c r="B161" s="41">
        <f t="shared" si="17"/>
        <v>62000</v>
      </c>
      <c r="C161" s="1">
        <f>Table1[[#This Row],[taxable wages]]</f>
        <v>62000</v>
      </c>
      <c r="D161" s="1">
        <f>Table1[[#This Row],[taxable wages]]+interest+dividends+short_term_capital_gains+long_term_capital_gains</f>
        <v>62000</v>
      </c>
      <c r="E161" s="1">
        <f>MAX(Table1[[#This Row],[earned income for EITC]:[Agi For Eitc Calc]])</f>
        <v>62000</v>
      </c>
      <c r="F161" s="1">
        <f>Table1[[#This Row],[taxable wages]]+interest+dividends+short_term_capital_gains+long_term_capital_gains-(trad_ira_contributions+MIN(student_loan_interest_cap,student_loan_interest))</f>
        <v>62000</v>
      </c>
      <c r="G161" s="1">
        <f t="shared" si="13"/>
        <v>12600</v>
      </c>
      <c r="H161" s="1">
        <f t="shared" si="14"/>
        <v>28350</v>
      </c>
      <c r="I161" s="1">
        <f>MAX(0,Table1[[#This Row],[Agi]]-Table1[[#This Row],[Exemptions]]-Table1[[#This Row],[Effective Deductions]])</f>
        <v>21050</v>
      </c>
      <c r="J1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2230</v>
      </c>
      <c r="K161" s="1">
        <f t="shared" si="15"/>
        <v>5000</v>
      </c>
      <c r="L161" s="1">
        <f>IF(Table1[[#This Row],[Agi]]&gt;ctc_phase_out_begins,ctc_phase_out_rate*(Table1[[#This Row],[Agi]]-ctc_phase_out_begins),0)</f>
        <v>0</v>
      </c>
      <c r="M161" s="1">
        <f>MAX(Table1[[#This Row],[Child Tax Credit]]-Table1[[#This Row],[Child Tax Credit Phase Out]],0)</f>
        <v>5000</v>
      </c>
      <c r="N161" s="1">
        <f>MAX(Table1[[#This Row],[Regular Taxes Owed]]-Table1[[#This Row],[Effective Child Tax Credit]],0)</f>
        <v>0</v>
      </c>
      <c r="O161" s="1">
        <f>MAX(MIN((Table1[[#This Row],[taxable wages]]-3000)*0.15,1000*num_kids_16_younger),0)</f>
        <v>5000</v>
      </c>
      <c r="P161" s="9">
        <f>IF(Table1[[#This Row],[Effective Child Tax Credit]]&gt;Table1[[#This Row],[Regular Taxes Owed]],Table1[[#This Row],[Additional Child Tax Credit ]]-Table1[[#This Row],[Regular Taxes Owed]],0)</f>
        <v>2770</v>
      </c>
      <c r="Q1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1" s="1">
        <f>Table1[[#This Row],[Effective Additional Child Tax Credit]]+Table1[[#This Row],[Eitc]]</f>
        <v>2770</v>
      </c>
      <c r="S161" s="9">
        <f>Table1[[#This Row],[Regular Taxes Owed - Effective Child Tax Credit]]-Table1[[#This Row],[Total Credits]]</f>
        <v>-2770</v>
      </c>
      <c r="T161" s="9">
        <f>Table1[[#This Row],[taxable wages]]+interest+dividends+short_term_capital_gains+long_term_capital_gains-(charitable_donations+mortgage_interest)</f>
        <v>62000</v>
      </c>
      <c r="U161" s="9">
        <f>MAX(amt_exemption-amt_exemption_phase_out_rate*MAX(Table1[[#This Row],[taxable wages]]-amt_phase_out_begins,0),0)</f>
        <v>83800</v>
      </c>
      <c r="V1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1" s="1">
        <f>IF(AND(Table1[[#This Row],[AMT Taxes]]&gt;Table1[[#This Row],[Regular Taxes Owed]],Table1[[#This Row],[AMT Taxes]]&gt;0),Table1[[#This Row],[AMT Taxes]]-Table1[[#This Row],[Regular Taxes Owed]],0)</f>
        <v>0</v>
      </c>
      <c r="X161" s="9">
        <f>Table1[[#This Row],[Extra Taxes From Amt]]+Table1[[#This Row],[Federal Taxes Owed (No AMT)]]</f>
        <v>-2770</v>
      </c>
      <c r="Y161" s="9">
        <f>IF(Table1[[#This Row],[taxable wages]]&gt;obamacare_surcharge_amount,obamacare_surcharge_percent*(Table1[[#This Row],[taxable wages]]-obamacare_surcharge_amount),0)</f>
        <v>0</v>
      </c>
      <c r="Z161" s="9">
        <f>Table1[[#This Row],[Federal Taxes Owed (Includes AMT)]]+Table1[[#This Row],[Obamacare surcharge premium]]</f>
        <v>-2770</v>
      </c>
      <c r="AA161" s="9">
        <f>Table1[[#This Row],[taxable wages]]-Table1[[#This Row],[Federal Taxes Owed2]]</f>
        <v>64770</v>
      </c>
      <c r="AB161" s="51">
        <f t="shared" si="16"/>
        <v>0.15</v>
      </c>
      <c r="AC161" s="41"/>
      <c r="AD161" s="13"/>
      <c r="AE161" s="13"/>
    </row>
    <row r="162" spans="2:31" x14ac:dyDescent="0.3">
      <c r="B162" s="41">
        <f t="shared" si="17"/>
        <v>62500</v>
      </c>
      <c r="C162" s="1">
        <f>Table1[[#This Row],[taxable wages]]</f>
        <v>62500</v>
      </c>
      <c r="D162" s="1">
        <f>Table1[[#This Row],[taxable wages]]+interest+dividends+short_term_capital_gains+long_term_capital_gains</f>
        <v>62500</v>
      </c>
      <c r="E162" s="1">
        <f>MAX(Table1[[#This Row],[earned income for EITC]:[Agi For Eitc Calc]])</f>
        <v>62500</v>
      </c>
      <c r="F162" s="1">
        <f>Table1[[#This Row],[taxable wages]]+interest+dividends+short_term_capital_gains+long_term_capital_gains-(trad_ira_contributions+MIN(student_loan_interest_cap,student_loan_interest))</f>
        <v>62500</v>
      </c>
      <c r="G162" s="1">
        <f t="shared" si="13"/>
        <v>12600</v>
      </c>
      <c r="H162" s="1">
        <f t="shared" si="14"/>
        <v>28350</v>
      </c>
      <c r="I162" s="1">
        <f>MAX(0,Table1[[#This Row],[Agi]]-Table1[[#This Row],[Exemptions]]-Table1[[#This Row],[Effective Deductions]])</f>
        <v>21550</v>
      </c>
      <c r="J1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2305</v>
      </c>
      <c r="K162" s="1">
        <f t="shared" si="15"/>
        <v>5000</v>
      </c>
      <c r="L162" s="1">
        <f>IF(Table1[[#This Row],[Agi]]&gt;ctc_phase_out_begins,ctc_phase_out_rate*(Table1[[#This Row],[Agi]]-ctc_phase_out_begins),0)</f>
        <v>0</v>
      </c>
      <c r="M162" s="1">
        <f>MAX(Table1[[#This Row],[Child Tax Credit]]-Table1[[#This Row],[Child Tax Credit Phase Out]],0)</f>
        <v>5000</v>
      </c>
      <c r="N162" s="1">
        <f>MAX(Table1[[#This Row],[Regular Taxes Owed]]-Table1[[#This Row],[Effective Child Tax Credit]],0)</f>
        <v>0</v>
      </c>
      <c r="O162" s="1">
        <f>MAX(MIN((Table1[[#This Row],[taxable wages]]-3000)*0.15,1000*num_kids_16_younger),0)</f>
        <v>5000</v>
      </c>
      <c r="P162" s="9">
        <f>IF(Table1[[#This Row],[Effective Child Tax Credit]]&gt;Table1[[#This Row],[Regular Taxes Owed]],Table1[[#This Row],[Additional Child Tax Credit ]]-Table1[[#This Row],[Regular Taxes Owed]],0)</f>
        <v>2695</v>
      </c>
      <c r="Q1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2" s="1">
        <f>Table1[[#This Row],[Effective Additional Child Tax Credit]]+Table1[[#This Row],[Eitc]]</f>
        <v>2695</v>
      </c>
      <c r="S162" s="9">
        <f>Table1[[#This Row],[Regular Taxes Owed - Effective Child Tax Credit]]-Table1[[#This Row],[Total Credits]]</f>
        <v>-2695</v>
      </c>
      <c r="T162" s="9">
        <f>Table1[[#This Row],[taxable wages]]+interest+dividends+short_term_capital_gains+long_term_capital_gains-(charitable_donations+mortgage_interest)</f>
        <v>62500</v>
      </c>
      <c r="U162" s="9">
        <f>MAX(amt_exemption-amt_exemption_phase_out_rate*MAX(Table1[[#This Row],[taxable wages]]-amt_phase_out_begins,0),0)</f>
        <v>83800</v>
      </c>
      <c r="V1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2" s="1">
        <f>IF(AND(Table1[[#This Row],[AMT Taxes]]&gt;Table1[[#This Row],[Regular Taxes Owed]],Table1[[#This Row],[AMT Taxes]]&gt;0),Table1[[#This Row],[AMT Taxes]]-Table1[[#This Row],[Regular Taxes Owed]],0)</f>
        <v>0</v>
      </c>
      <c r="X162" s="9">
        <f>Table1[[#This Row],[Extra Taxes From Amt]]+Table1[[#This Row],[Federal Taxes Owed (No AMT)]]</f>
        <v>-2695</v>
      </c>
      <c r="Y162" s="9">
        <f>IF(Table1[[#This Row],[taxable wages]]&gt;obamacare_surcharge_amount,obamacare_surcharge_percent*(Table1[[#This Row],[taxable wages]]-obamacare_surcharge_amount),0)</f>
        <v>0</v>
      </c>
      <c r="Z162" s="9">
        <f>Table1[[#This Row],[Federal Taxes Owed (Includes AMT)]]+Table1[[#This Row],[Obamacare surcharge premium]]</f>
        <v>-2695</v>
      </c>
      <c r="AA162" s="9">
        <f>Table1[[#This Row],[taxable wages]]-Table1[[#This Row],[Federal Taxes Owed2]]</f>
        <v>65195</v>
      </c>
      <c r="AB162" s="51">
        <f t="shared" si="16"/>
        <v>0.15</v>
      </c>
      <c r="AC162" s="41"/>
      <c r="AD162" s="13"/>
      <c r="AE162" s="13"/>
    </row>
    <row r="163" spans="2:31" x14ac:dyDescent="0.3">
      <c r="B163" s="41">
        <f t="shared" si="17"/>
        <v>63000</v>
      </c>
      <c r="C163" s="1">
        <f>Table1[[#This Row],[taxable wages]]</f>
        <v>63000</v>
      </c>
      <c r="D163" s="1">
        <f>Table1[[#This Row],[taxable wages]]+interest+dividends+short_term_capital_gains+long_term_capital_gains</f>
        <v>63000</v>
      </c>
      <c r="E163" s="1">
        <f>MAX(Table1[[#This Row],[earned income for EITC]:[Agi For Eitc Calc]])</f>
        <v>63000</v>
      </c>
      <c r="F163" s="1">
        <f>Table1[[#This Row],[taxable wages]]+interest+dividends+short_term_capital_gains+long_term_capital_gains-(trad_ira_contributions+MIN(student_loan_interest_cap,student_loan_interest))</f>
        <v>63000</v>
      </c>
      <c r="G163" s="1">
        <f t="shared" si="13"/>
        <v>12600</v>
      </c>
      <c r="H163" s="1">
        <f t="shared" si="14"/>
        <v>28350</v>
      </c>
      <c r="I163" s="1">
        <f>MAX(0,Table1[[#This Row],[Agi]]-Table1[[#This Row],[Exemptions]]-Table1[[#This Row],[Effective Deductions]])</f>
        <v>22050</v>
      </c>
      <c r="J1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2380</v>
      </c>
      <c r="K163" s="1">
        <f t="shared" si="15"/>
        <v>5000</v>
      </c>
      <c r="L163" s="1">
        <f>IF(Table1[[#This Row],[Agi]]&gt;ctc_phase_out_begins,ctc_phase_out_rate*(Table1[[#This Row],[Agi]]-ctc_phase_out_begins),0)</f>
        <v>0</v>
      </c>
      <c r="M163" s="1">
        <f>MAX(Table1[[#This Row],[Child Tax Credit]]-Table1[[#This Row],[Child Tax Credit Phase Out]],0)</f>
        <v>5000</v>
      </c>
      <c r="N163" s="1">
        <f>MAX(Table1[[#This Row],[Regular Taxes Owed]]-Table1[[#This Row],[Effective Child Tax Credit]],0)</f>
        <v>0</v>
      </c>
      <c r="O163" s="1">
        <f>MAX(MIN((Table1[[#This Row],[taxable wages]]-3000)*0.15,1000*num_kids_16_younger),0)</f>
        <v>5000</v>
      </c>
      <c r="P163" s="9">
        <f>IF(Table1[[#This Row],[Effective Child Tax Credit]]&gt;Table1[[#This Row],[Regular Taxes Owed]],Table1[[#This Row],[Additional Child Tax Credit ]]-Table1[[#This Row],[Regular Taxes Owed]],0)</f>
        <v>2620</v>
      </c>
      <c r="Q1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3" s="1">
        <f>Table1[[#This Row],[Effective Additional Child Tax Credit]]+Table1[[#This Row],[Eitc]]</f>
        <v>2620</v>
      </c>
      <c r="S163" s="9">
        <f>Table1[[#This Row],[Regular Taxes Owed - Effective Child Tax Credit]]-Table1[[#This Row],[Total Credits]]</f>
        <v>-2620</v>
      </c>
      <c r="T163" s="9">
        <f>Table1[[#This Row],[taxable wages]]+interest+dividends+short_term_capital_gains+long_term_capital_gains-(charitable_donations+mortgage_interest)</f>
        <v>63000</v>
      </c>
      <c r="U163" s="9">
        <f>MAX(amt_exemption-amt_exemption_phase_out_rate*MAX(Table1[[#This Row],[taxable wages]]-amt_phase_out_begins,0),0)</f>
        <v>83800</v>
      </c>
      <c r="V1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3" s="1">
        <f>IF(AND(Table1[[#This Row],[AMT Taxes]]&gt;Table1[[#This Row],[Regular Taxes Owed]],Table1[[#This Row],[AMT Taxes]]&gt;0),Table1[[#This Row],[AMT Taxes]]-Table1[[#This Row],[Regular Taxes Owed]],0)</f>
        <v>0</v>
      </c>
      <c r="X163" s="9">
        <f>Table1[[#This Row],[Extra Taxes From Amt]]+Table1[[#This Row],[Federal Taxes Owed (No AMT)]]</f>
        <v>-2620</v>
      </c>
      <c r="Y163" s="9">
        <f>IF(Table1[[#This Row],[taxable wages]]&gt;obamacare_surcharge_amount,obamacare_surcharge_percent*(Table1[[#This Row],[taxable wages]]-obamacare_surcharge_amount),0)</f>
        <v>0</v>
      </c>
      <c r="Z163" s="9">
        <f>Table1[[#This Row],[Federal Taxes Owed (Includes AMT)]]+Table1[[#This Row],[Obamacare surcharge premium]]</f>
        <v>-2620</v>
      </c>
      <c r="AA163" s="9">
        <f>Table1[[#This Row],[taxable wages]]-Table1[[#This Row],[Federal Taxes Owed2]]</f>
        <v>65620</v>
      </c>
      <c r="AB163" s="51">
        <f t="shared" si="16"/>
        <v>0.15</v>
      </c>
      <c r="AC163" s="41"/>
      <c r="AD163" s="13"/>
      <c r="AE163" s="13"/>
    </row>
    <row r="164" spans="2:31" x14ac:dyDescent="0.3">
      <c r="B164" s="41">
        <f t="shared" si="17"/>
        <v>63500</v>
      </c>
      <c r="C164" s="1">
        <f>Table1[[#This Row],[taxable wages]]</f>
        <v>63500</v>
      </c>
      <c r="D164" s="1">
        <f>Table1[[#This Row],[taxable wages]]+interest+dividends+short_term_capital_gains+long_term_capital_gains</f>
        <v>63500</v>
      </c>
      <c r="E164" s="1">
        <f>MAX(Table1[[#This Row],[earned income for EITC]:[Agi For Eitc Calc]])</f>
        <v>63500</v>
      </c>
      <c r="F164" s="1">
        <f>Table1[[#This Row],[taxable wages]]+interest+dividends+short_term_capital_gains+long_term_capital_gains-(trad_ira_contributions+MIN(student_loan_interest_cap,student_loan_interest))</f>
        <v>63500</v>
      </c>
      <c r="G164" s="1">
        <f t="shared" si="13"/>
        <v>12600</v>
      </c>
      <c r="H164" s="1">
        <f t="shared" si="14"/>
        <v>28350</v>
      </c>
      <c r="I164" s="1">
        <f>MAX(0,Table1[[#This Row],[Agi]]-Table1[[#This Row],[Exemptions]]-Table1[[#This Row],[Effective Deductions]])</f>
        <v>22550</v>
      </c>
      <c r="J1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2455</v>
      </c>
      <c r="K164" s="1">
        <f t="shared" si="15"/>
        <v>5000</v>
      </c>
      <c r="L164" s="1">
        <f>IF(Table1[[#This Row],[Agi]]&gt;ctc_phase_out_begins,ctc_phase_out_rate*(Table1[[#This Row],[Agi]]-ctc_phase_out_begins),0)</f>
        <v>0</v>
      </c>
      <c r="M164" s="1">
        <f>MAX(Table1[[#This Row],[Child Tax Credit]]-Table1[[#This Row],[Child Tax Credit Phase Out]],0)</f>
        <v>5000</v>
      </c>
      <c r="N164" s="1">
        <f>MAX(Table1[[#This Row],[Regular Taxes Owed]]-Table1[[#This Row],[Effective Child Tax Credit]],0)</f>
        <v>0</v>
      </c>
      <c r="O164" s="1">
        <f>MAX(MIN((Table1[[#This Row],[taxable wages]]-3000)*0.15,1000*num_kids_16_younger),0)</f>
        <v>5000</v>
      </c>
      <c r="P164" s="9">
        <f>IF(Table1[[#This Row],[Effective Child Tax Credit]]&gt;Table1[[#This Row],[Regular Taxes Owed]],Table1[[#This Row],[Additional Child Tax Credit ]]-Table1[[#This Row],[Regular Taxes Owed]],0)</f>
        <v>2545</v>
      </c>
      <c r="Q1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4" s="1">
        <f>Table1[[#This Row],[Effective Additional Child Tax Credit]]+Table1[[#This Row],[Eitc]]</f>
        <v>2545</v>
      </c>
      <c r="S164" s="9">
        <f>Table1[[#This Row],[Regular Taxes Owed - Effective Child Tax Credit]]-Table1[[#This Row],[Total Credits]]</f>
        <v>-2545</v>
      </c>
      <c r="T164" s="9">
        <f>Table1[[#This Row],[taxable wages]]+interest+dividends+short_term_capital_gains+long_term_capital_gains-(charitable_donations+mortgage_interest)</f>
        <v>63500</v>
      </c>
      <c r="U164" s="9">
        <f>MAX(amt_exemption-amt_exemption_phase_out_rate*MAX(Table1[[#This Row],[taxable wages]]-amt_phase_out_begins,0),0)</f>
        <v>83800</v>
      </c>
      <c r="V1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4" s="1">
        <f>IF(AND(Table1[[#This Row],[AMT Taxes]]&gt;Table1[[#This Row],[Regular Taxes Owed]],Table1[[#This Row],[AMT Taxes]]&gt;0),Table1[[#This Row],[AMT Taxes]]-Table1[[#This Row],[Regular Taxes Owed]],0)</f>
        <v>0</v>
      </c>
      <c r="X164" s="9">
        <f>Table1[[#This Row],[Extra Taxes From Amt]]+Table1[[#This Row],[Federal Taxes Owed (No AMT)]]</f>
        <v>-2545</v>
      </c>
      <c r="Y164" s="9">
        <f>IF(Table1[[#This Row],[taxable wages]]&gt;obamacare_surcharge_amount,obamacare_surcharge_percent*(Table1[[#This Row],[taxable wages]]-obamacare_surcharge_amount),0)</f>
        <v>0</v>
      </c>
      <c r="Z164" s="9">
        <f>Table1[[#This Row],[Federal Taxes Owed (Includes AMT)]]+Table1[[#This Row],[Obamacare surcharge premium]]</f>
        <v>-2545</v>
      </c>
      <c r="AA164" s="9">
        <f>Table1[[#This Row],[taxable wages]]-Table1[[#This Row],[Federal Taxes Owed2]]</f>
        <v>66045</v>
      </c>
      <c r="AB164" s="51">
        <f t="shared" si="16"/>
        <v>0.15</v>
      </c>
      <c r="AC164" s="41"/>
      <c r="AD164" s="13"/>
      <c r="AE164" s="13"/>
    </row>
    <row r="165" spans="2:31" x14ac:dyDescent="0.3">
      <c r="B165" s="41">
        <f t="shared" si="17"/>
        <v>64000</v>
      </c>
      <c r="C165" s="1">
        <f>Table1[[#This Row],[taxable wages]]</f>
        <v>64000</v>
      </c>
      <c r="D165" s="1">
        <f>Table1[[#This Row],[taxable wages]]+interest+dividends+short_term_capital_gains+long_term_capital_gains</f>
        <v>64000</v>
      </c>
      <c r="E165" s="1">
        <f>MAX(Table1[[#This Row],[earned income for EITC]:[Agi For Eitc Calc]])</f>
        <v>64000</v>
      </c>
      <c r="F165" s="1">
        <f>Table1[[#This Row],[taxable wages]]+interest+dividends+short_term_capital_gains+long_term_capital_gains-(trad_ira_contributions+MIN(student_loan_interest_cap,student_loan_interest))</f>
        <v>64000</v>
      </c>
      <c r="G165" s="1">
        <f t="shared" si="13"/>
        <v>12600</v>
      </c>
      <c r="H165" s="1">
        <f t="shared" si="14"/>
        <v>28350</v>
      </c>
      <c r="I165" s="1">
        <f>MAX(0,Table1[[#This Row],[Agi]]-Table1[[#This Row],[Exemptions]]-Table1[[#This Row],[Effective Deductions]])</f>
        <v>23050</v>
      </c>
      <c r="J1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2530</v>
      </c>
      <c r="K165" s="1">
        <f t="shared" si="15"/>
        <v>5000</v>
      </c>
      <c r="L165" s="1">
        <f>IF(Table1[[#This Row],[Agi]]&gt;ctc_phase_out_begins,ctc_phase_out_rate*(Table1[[#This Row],[Agi]]-ctc_phase_out_begins),0)</f>
        <v>0</v>
      </c>
      <c r="M165" s="1">
        <f>MAX(Table1[[#This Row],[Child Tax Credit]]-Table1[[#This Row],[Child Tax Credit Phase Out]],0)</f>
        <v>5000</v>
      </c>
      <c r="N165" s="1">
        <f>MAX(Table1[[#This Row],[Regular Taxes Owed]]-Table1[[#This Row],[Effective Child Tax Credit]],0)</f>
        <v>0</v>
      </c>
      <c r="O165" s="1">
        <f>MAX(MIN((Table1[[#This Row],[taxable wages]]-3000)*0.15,1000*num_kids_16_younger),0)</f>
        <v>5000</v>
      </c>
      <c r="P165" s="9">
        <f>IF(Table1[[#This Row],[Effective Child Tax Credit]]&gt;Table1[[#This Row],[Regular Taxes Owed]],Table1[[#This Row],[Additional Child Tax Credit ]]-Table1[[#This Row],[Regular Taxes Owed]],0)</f>
        <v>2470</v>
      </c>
      <c r="Q1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5" s="1">
        <f>Table1[[#This Row],[Effective Additional Child Tax Credit]]+Table1[[#This Row],[Eitc]]</f>
        <v>2470</v>
      </c>
      <c r="S165" s="9">
        <f>Table1[[#This Row],[Regular Taxes Owed - Effective Child Tax Credit]]-Table1[[#This Row],[Total Credits]]</f>
        <v>-2470</v>
      </c>
      <c r="T165" s="9">
        <f>Table1[[#This Row],[taxable wages]]+interest+dividends+short_term_capital_gains+long_term_capital_gains-(charitable_donations+mortgage_interest)</f>
        <v>64000</v>
      </c>
      <c r="U165" s="9">
        <f>MAX(amt_exemption-amt_exemption_phase_out_rate*MAX(Table1[[#This Row],[taxable wages]]-amt_phase_out_begins,0),0)</f>
        <v>83800</v>
      </c>
      <c r="V1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5" s="1">
        <f>IF(AND(Table1[[#This Row],[AMT Taxes]]&gt;Table1[[#This Row],[Regular Taxes Owed]],Table1[[#This Row],[AMT Taxes]]&gt;0),Table1[[#This Row],[AMT Taxes]]-Table1[[#This Row],[Regular Taxes Owed]],0)</f>
        <v>0</v>
      </c>
      <c r="X165" s="9">
        <f>Table1[[#This Row],[Extra Taxes From Amt]]+Table1[[#This Row],[Federal Taxes Owed (No AMT)]]</f>
        <v>-2470</v>
      </c>
      <c r="Y165" s="9">
        <f>IF(Table1[[#This Row],[taxable wages]]&gt;obamacare_surcharge_amount,obamacare_surcharge_percent*(Table1[[#This Row],[taxable wages]]-obamacare_surcharge_amount),0)</f>
        <v>0</v>
      </c>
      <c r="Z165" s="9">
        <f>Table1[[#This Row],[Federal Taxes Owed (Includes AMT)]]+Table1[[#This Row],[Obamacare surcharge premium]]</f>
        <v>-2470</v>
      </c>
      <c r="AA165" s="9">
        <f>Table1[[#This Row],[taxable wages]]-Table1[[#This Row],[Federal Taxes Owed2]]</f>
        <v>66470</v>
      </c>
      <c r="AB165" s="51">
        <f t="shared" si="16"/>
        <v>0.15</v>
      </c>
      <c r="AC165" s="41"/>
      <c r="AD165" s="13"/>
      <c r="AE165" s="13"/>
    </row>
    <row r="166" spans="2:31" x14ac:dyDescent="0.3">
      <c r="B166" s="41">
        <f t="shared" si="17"/>
        <v>64500</v>
      </c>
      <c r="C166" s="1">
        <f>Table1[[#This Row],[taxable wages]]</f>
        <v>64500</v>
      </c>
      <c r="D166" s="1">
        <f>Table1[[#This Row],[taxable wages]]+interest+dividends+short_term_capital_gains+long_term_capital_gains</f>
        <v>64500</v>
      </c>
      <c r="E166" s="1">
        <f>MAX(Table1[[#This Row],[earned income for EITC]:[Agi For Eitc Calc]])</f>
        <v>64500</v>
      </c>
      <c r="F166" s="1">
        <f>Table1[[#This Row],[taxable wages]]+interest+dividends+short_term_capital_gains+long_term_capital_gains-(trad_ira_contributions+MIN(student_loan_interest_cap,student_loan_interest))</f>
        <v>64500</v>
      </c>
      <c r="G166" s="1">
        <f t="shared" ref="G166:G229" si="18">MAX(standard_deduction,mortgage_interest+real_estate_property_taxes+state_income_tax_paid+charitable_donations+medical_expenses)</f>
        <v>12600</v>
      </c>
      <c r="H166" s="1">
        <f t="shared" ref="H166:H229" si="19">num_people_in_family*personal_exemption</f>
        <v>28350</v>
      </c>
      <c r="I166" s="1">
        <f>MAX(0,Table1[[#This Row],[Agi]]-Table1[[#This Row],[Exemptions]]-Table1[[#This Row],[Effective Deductions]])</f>
        <v>23550</v>
      </c>
      <c r="J1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2605</v>
      </c>
      <c r="K166" s="1">
        <f t="shared" ref="K166:K229" si="20">child_tax_credit*num_kids_16_younger</f>
        <v>5000</v>
      </c>
      <c r="L166" s="1">
        <f>IF(Table1[[#This Row],[Agi]]&gt;ctc_phase_out_begins,ctc_phase_out_rate*(Table1[[#This Row],[Agi]]-ctc_phase_out_begins),0)</f>
        <v>0</v>
      </c>
      <c r="M166" s="1">
        <f>MAX(Table1[[#This Row],[Child Tax Credit]]-Table1[[#This Row],[Child Tax Credit Phase Out]],0)</f>
        <v>5000</v>
      </c>
      <c r="N166" s="1">
        <f>MAX(Table1[[#This Row],[Regular Taxes Owed]]-Table1[[#This Row],[Effective Child Tax Credit]],0)</f>
        <v>0</v>
      </c>
      <c r="O166" s="1">
        <f>MAX(MIN((Table1[[#This Row],[taxable wages]]-3000)*0.15,1000*num_kids_16_younger),0)</f>
        <v>5000</v>
      </c>
      <c r="P166" s="9">
        <f>IF(Table1[[#This Row],[Effective Child Tax Credit]]&gt;Table1[[#This Row],[Regular Taxes Owed]],Table1[[#This Row],[Additional Child Tax Credit ]]-Table1[[#This Row],[Regular Taxes Owed]],0)</f>
        <v>2395</v>
      </c>
      <c r="Q1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6" s="1">
        <f>Table1[[#This Row],[Effective Additional Child Tax Credit]]+Table1[[#This Row],[Eitc]]</f>
        <v>2395</v>
      </c>
      <c r="S166" s="9">
        <f>Table1[[#This Row],[Regular Taxes Owed - Effective Child Tax Credit]]-Table1[[#This Row],[Total Credits]]</f>
        <v>-2395</v>
      </c>
      <c r="T166" s="9">
        <f>Table1[[#This Row],[taxable wages]]+interest+dividends+short_term_capital_gains+long_term_capital_gains-(charitable_donations+mortgage_interest)</f>
        <v>64500</v>
      </c>
      <c r="U166" s="9">
        <f>MAX(amt_exemption-amt_exemption_phase_out_rate*MAX(Table1[[#This Row],[taxable wages]]-amt_phase_out_begins,0),0)</f>
        <v>83800</v>
      </c>
      <c r="V1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6" s="1">
        <f>IF(AND(Table1[[#This Row],[AMT Taxes]]&gt;Table1[[#This Row],[Regular Taxes Owed]],Table1[[#This Row],[AMT Taxes]]&gt;0),Table1[[#This Row],[AMT Taxes]]-Table1[[#This Row],[Regular Taxes Owed]],0)</f>
        <v>0</v>
      </c>
      <c r="X166" s="9">
        <f>Table1[[#This Row],[Extra Taxes From Amt]]+Table1[[#This Row],[Federal Taxes Owed (No AMT)]]</f>
        <v>-2395</v>
      </c>
      <c r="Y166" s="9">
        <f>IF(Table1[[#This Row],[taxable wages]]&gt;obamacare_surcharge_amount,obamacare_surcharge_percent*(Table1[[#This Row],[taxable wages]]-obamacare_surcharge_amount),0)</f>
        <v>0</v>
      </c>
      <c r="Z166" s="9">
        <f>Table1[[#This Row],[Federal Taxes Owed (Includes AMT)]]+Table1[[#This Row],[Obamacare surcharge premium]]</f>
        <v>-2395</v>
      </c>
      <c r="AA166" s="9">
        <f>Table1[[#This Row],[taxable wages]]-Table1[[#This Row],[Federal Taxes Owed2]]</f>
        <v>66895</v>
      </c>
      <c r="AB166" s="51">
        <f t="shared" si="16"/>
        <v>0.15</v>
      </c>
      <c r="AC166" s="41"/>
      <c r="AD166" s="13"/>
      <c r="AE166" s="13"/>
    </row>
    <row r="167" spans="2:31" x14ac:dyDescent="0.3">
      <c r="B167" s="41">
        <f t="shared" si="17"/>
        <v>65000</v>
      </c>
      <c r="C167" s="1">
        <f>Table1[[#This Row],[taxable wages]]</f>
        <v>65000</v>
      </c>
      <c r="D167" s="1">
        <f>Table1[[#This Row],[taxable wages]]+interest+dividends+short_term_capital_gains+long_term_capital_gains</f>
        <v>65000</v>
      </c>
      <c r="E167" s="1">
        <f>MAX(Table1[[#This Row],[earned income for EITC]:[Agi For Eitc Calc]])</f>
        <v>65000</v>
      </c>
      <c r="F167" s="1">
        <f>Table1[[#This Row],[taxable wages]]+interest+dividends+short_term_capital_gains+long_term_capital_gains-(trad_ira_contributions+MIN(student_loan_interest_cap,student_loan_interest))</f>
        <v>65000</v>
      </c>
      <c r="G167" s="1">
        <f t="shared" si="18"/>
        <v>12600</v>
      </c>
      <c r="H167" s="1">
        <f t="shared" si="19"/>
        <v>28350</v>
      </c>
      <c r="I167" s="1">
        <f>MAX(0,Table1[[#This Row],[Agi]]-Table1[[#This Row],[Exemptions]]-Table1[[#This Row],[Effective Deductions]])</f>
        <v>24050</v>
      </c>
      <c r="J1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2680</v>
      </c>
      <c r="K167" s="1">
        <f t="shared" si="20"/>
        <v>5000</v>
      </c>
      <c r="L167" s="1">
        <f>IF(Table1[[#This Row],[Agi]]&gt;ctc_phase_out_begins,ctc_phase_out_rate*(Table1[[#This Row],[Agi]]-ctc_phase_out_begins),0)</f>
        <v>0</v>
      </c>
      <c r="M167" s="1">
        <f>MAX(Table1[[#This Row],[Child Tax Credit]]-Table1[[#This Row],[Child Tax Credit Phase Out]],0)</f>
        <v>5000</v>
      </c>
      <c r="N167" s="1">
        <f>MAX(Table1[[#This Row],[Regular Taxes Owed]]-Table1[[#This Row],[Effective Child Tax Credit]],0)</f>
        <v>0</v>
      </c>
      <c r="O167" s="1">
        <f>MAX(MIN((Table1[[#This Row],[taxable wages]]-3000)*0.15,1000*num_kids_16_younger),0)</f>
        <v>5000</v>
      </c>
      <c r="P167" s="9">
        <f>IF(Table1[[#This Row],[Effective Child Tax Credit]]&gt;Table1[[#This Row],[Regular Taxes Owed]],Table1[[#This Row],[Additional Child Tax Credit ]]-Table1[[#This Row],[Regular Taxes Owed]],0)</f>
        <v>2320</v>
      </c>
      <c r="Q1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7" s="1">
        <f>Table1[[#This Row],[Effective Additional Child Tax Credit]]+Table1[[#This Row],[Eitc]]</f>
        <v>2320</v>
      </c>
      <c r="S167" s="9">
        <f>Table1[[#This Row],[Regular Taxes Owed - Effective Child Tax Credit]]-Table1[[#This Row],[Total Credits]]</f>
        <v>-2320</v>
      </c>
      <c r="T167" s="9">
        <f>Table1[[#This Row],[taxable wages]]+interest+dividends+short_term_capital_gains+long_term_capital_gains-(charitable_donations+mortgage_interest)</f>
        <v>65000</v>
      </c>
      <c r="U167" s="9">
        <f>MAX(amt_exemption-amt_exemption_phase_out_rate*MAX(Table1[[#This Row],[taxable wages]]-amt_phase_out_begins,0),0)</f>
        <v>83800</v>
      </c>
      <c r="V1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7" s="1">
        <f>IF(AND(Table1[[#This Row],[AMT Taxes]]&gt;Table1[[#This Row],[Regular Taxes Owed]],Table1[[#This Row],[AMT Taxes]]&gt;0),Table1[[#This Row],[AMT Taxes]]-Table1[[#This Row],[Regular Taxes Owed]],0)</f>
        <v>0</v>
      </c>
      <c r="X167" s="9">
        <f>Table1[[#This Row],[Extra Taxes From Amt]]+Table1[[#This Row],[Federal Taxes Owed (No AMT)]]</f>
        <v>-2320</v>
      </c>
      <c r="Y167" s="9">
        <f>IF(Table1[[#This Row],[taxable wages]]&gt;obamacare_surcharge_amount,obamacare_surcharge_percent*(Table1[[#This Row],[taxable wages]]-obamacare_surcharge_amount),0)</f>
        <v>0</v>
      </c>
      <c r="Z167" s="9">
        <f>Table1[[#This Row],[Federal Taxes Owed (Includes AMT)]]+Table1[[#This Row],[Obamacare surcharge premium]]</f>
        <v>-2320</v>
      </c>
      <c r="AA167" s="9">
        <f>Table1[[#This Row],[taxable wages]]-Table1[[#This Row],[Federal Taxes Owed2]]</f>
        <v>67320</v>
      </c>
      <c r="AB167" s="51">
        <f t="shared" ref="AB167:AB230" si="21">(Z167-Z166)/(B167-B166)</f>
        <v>0.15</v>
      </c>
      <c r="AC167" s="41"/>
      <c r="AD167" s="13"/>
      <c r="AE167" s="13"/>
    </row>
    <row r="168" spans="2:31" x14ac:dyDescent="0.3">
      <c r="B168" s="41">
        <f t="shared" ref="B168:B231" si="22">B167+500</f>
        <v>65500</v>
      </c>
      <c r="C168" s="1">
        <f>Table1[[#This Row],[taxable wages]]</f>
        <v>65500</v>
      </c>
      <c r="D168" s="1">
        <f>Table1[[#This Row],[taxable wages]]+interest+dividends+short_term_capital_gains+long_term_capital_gains</f>
        <v>65500</v>
      </c>
      <c r="E168" s="1">
        <f>MAX(Table1[[#This Row],[earned income for EITC]:[Agi For Eitc Calc]])</f>
        <v>65500</v>
      </c>
      <c r="F168" s="1">
        <f>Table1[[#This Row],[taxable wages]]+interest+dividends+short_term_capital_gains+long_term_capital_gains-(trad_ira_contributions+MIN(student_loan_interest_cap,student_loan_interest))</f>
        <v>65500</v>
      </c>
      <c r="G168" s="1">
        <f t="shared" si="18"/>
        <v>12600</v>
      </c>
      <c r="H168" s="1">
        <f t="shared" si="19"/>
        <v>28350</v>
      </c>
      <c r="I168" s="1">
        <f>MAX(0,Table1[[#This Row],[Agi]]-Table1[[#This Row],[Exemptions]]-Table1[[#This Row],[Effective Deductions]])</f>
        <v>24550</v>
      </c>
      <c r="J1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2755</v>
      </c>
      <c r="K168" s="1">
        <f t="shared" si="20"/>
        <v>5000</v>
      </c>
      <c r="L168" s="1">
        <f>IF(Table1[[#This Row],[Agi]]&gt;ctc_phase_out_begins,ctc_phase_out_rate*(Table1[[#This Row],[Agi]]-ctc_phase_out_begins),0)</f>
        <v>0</v>
      </c>
      <c r="M168" s="1">
        <f>MAX(Table1[[#This Row],[Child Tax Credit]]-Table1[[#This Row],[Child Tax Credit Phase Out]],0)</f>
        <v>5000</v>
      </c>
      <c r="N168" s="1">
        <f>MAX(Table1[[#This Row],[Regular Taxes Owed]]-Table1[[#This Row],[Effective Child Tax Credit]],0)</f>
        <v>0</v>
      </c>
      <c r="O168" s="1">
        <f>MAX(MIN((Table1[[#This Row],[taxable wages]]-3000)*0.15,1000*num_kids_16_younger),0)</f>
        <v>5000</v>
      </c>
      <c r="P168" s="9">
        <f>IF(Table1[[#This Row],[Effective Child Tax Credit]]&gt;Table1[[#This Row],[Regular Taxes Owed]],Table1[[#This Row],[Additional Child Tax Credit ]]-Table1[[#This Row],[Regular Taxes Owed]],0)</f>
        <v>2245</v>
      </c>
      <c r="Q1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8" s="1">
        <f>Table1[[#This Row],[Effective Additional Child Tax Credit]]+Table1[[#This Row],[Eitc]]</f>
        <v>2245</v>
      </c>
      <c r="S168" s="9">
        <f>Table1[[#This Row],[Regular Taxes Owed - Effective Child Tax Credit]]-Table1[[#This Row],[Total Credits]]</f>
        <v>-2245</v>
      </c>
      <c r="T168" s="9">
        <f>Table1[[#This Row],[taxable wages]]+interest+dividends+short_term_capital_gains+long_term_capital_gains-(charitable_donations+mortgage_interest)</f>
        <v>65500</v>
      </c>
      <c r="U168" s="9">
        <f>MAX(amt_exemption-amt_exemption_phase_out_rate*MAX(Table1[[#This Row],[taxable wages]]-amt_phase_out_begins,0),0)</f>
        <v>83800</v>
      </c>
      <c r="V1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8" s="1">
        <f>IF(AND(Table1[[#This Row],[AMT Taxes]]&gt;Table1[[#This Row],[Regular Taxes Owed]],Table1[[#This Row],[AMT Taxes]]&gt;0),Table1[[#This Row],[AMT Taxes]]-Table1[[#This Row],[Regular Taxes Owed]],0)</f>
        <v>0</v>
      </c>
      <c r="X168" s="9">
        <f>Table1[[#This Row],[Extra Taxes From Amt]]+Table1[[#This Row],[Federal Taxes Owed (No AMT)]]</f>
        <v>-2245</v>
      </c>
      <c r="Y168" s="9">
        <f>IF(Table1[[#This Row],[taxable wages]]&gt;obamacare_surcharge_amount,obamacare_surcharge_percent*(Table1[[#This Row],[taxable wages]]-obamacare_surcharge_amount),0)</f>
        <v>0</v>
      </c>
      <c r="Z168" s="9">
        <f>Table1[[#This Row],[Federal Taxes Owed (Includes AMT)]]+Table1[[#This Row],[Obamacare surcharge premium]]</f>
        <v>-2245</v>
      </c>
      <c r="AA168" s="9">
        <f>Table1[[#This Row],[taxable wages]]-Table1[[#This Row],[Federal Taxes Owed2]]</f>
        <v>67745</v>
      </c>
      <c r="AB168" s="51">
        <f t="shared" si="21"/>
        <v>0.15</v>
      </c>
      <c r="AC168" s="41"/>
      <c r="AD168" s="13"/>
      <c r="AE168" s="13"/>
    </row>
    <row r="169" spans="2:31" x14ac:dyDescent="0.3">
      <c r="B169" s="41">
        <f t="shared" si="22"/>
        <v>66000</v>
      </c>
      <c r="C169" s="1">
        <f>Table1[[#This Row],[taxable wages]]</f>
        <v>66000</v>
      </c>
      <c r="D169" s="1">
        <f>Table1[[#This Row],[taxable wages]]+interest+dividends+short_term_capital_gains+long_term_capital_gains</f>
        <v>66000</v>
      </c>
      <c r="E169" s="1">
        <f>MAX(Table1[[#This Row],[earned income for EITC]:[Agi For Eitc Calc]])</f>
        <v>66000</v>
      </c>
      <c r="F169" s="1">
        <f>Table1[[#This Row],[taxable wages]]+interest+dividends+short_term_capital_gains+long_term_capital_gains-(trad_ira_contributions+MIN(student_loan_interest_cap,student_loan_interest))</f>
        <v>66000</v>
      </c>
      <c r="G169" s="1">
        <f t="shared" si="18"/>
        <v>12600</v>
      </c>
      <c r="H169" s="1">
        <f t="shared" si="19"/>
        <v>28350</v>
      </c>
      <c r="I169" s="1">
        <f>MAX(0,Table1[[#This Row],[Agi]]-Table1[[#This Row],[Exemptions]]-Table1[[#This Row],[Effective Deductions]])</f>
        <v>25050</v>
      </c>
      <c r="J1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2830</v>
      </c>
      <c r="K169" s="1">
        <f t="shared" si="20"/>
        <v>5000</v>
      </c>
      <c r="L169" s="1">
        <f>IF(Table1[[#This Row],[Agi]]&gt;ctc_phase_out_begins,ctc_phase_out_rate*(Table1[[#This Row],[Agi]]-ctc_phase_out_begins),0)</f>
        <v>0</v>
      </c>
      <c r="M169" s="1">
        <f>MAX(Table1[[#This Row],[Child Tax Credit]]-Table1[[#This Row],[Child Tax Credit Phase Out]],0)</f>
        <v>5000</v>
      </c>
      <c r="N169" s="1">
        <f>MAX(Table1[[#This Row],[Regular Taxes Owed]]-Table1[[#This Row],[Effective Child Tax Credit]],0)</f>
        <v>0</v>
      </c>
      <c r="O169" s="1">
        <f>MAX(MIN((Table1[[#This Row],[taxable wages]]-3000)*0.15,1000*num_kids_16_younger),0)</f>
        <v>5000</v>
      </c>
      <c r="P169" s="9">
        <f>IF(Table1[[#This Row],[Effective Child Tax Credit]]&gt;Table1[[#This Row],[Regular Taxes Owed]],Table1[[#This Row],[Additional Child Tax Credit ]]-Table1[[#This Row],[Regular Taxes Owed]],0)</f>
        <v>2170</v>
      </c>
      <c r="Q1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69" s="1">
        <f>Table1[[#This Row],[Effective Additional Child Tax Credit]]+Table1[[#This Row],[Eitc]]</f>
        <v>2170</v>
      </c>
      <c r="S169" s="9">
        <f>Table1[[#This Row],[Regular Taxes Owed - Effective Child Tax Credit]]-Table1[[#This Row],[Total Credits]]</f>
        <v>-2170</v>
      </c>
      <c r="T169" s="9">
        <f>Table1[[#This Row],[taxable wages]]+interest+dividends+short_term_capital_gains+long_term_capital_gains-(charitable_donations+mortgage_interest)</f>
        <v>66000</v>
      </c>
      <c r="U169" s="9">
        <f>MAX(amt_exemption-amt_exemption_phase_out_rate*MAX(Table1[[#This Row],[taxable wages]]-amt_phase_out_begins,0),0)</f>
        <v>83800</v>
      </c>
      <c r="V1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69" s="1">
        <f>IF(AND(Table1[[#This Row],[AMT Taxes]]&gt;Table1[[#This Row],[Regular Taxes Owed]],Table1[[#This Row],[AMT Taxes]]&gt;0),Table1[[#This Row],[AMT Taxes]]-Table1[[#This Row],[Regular Taxes Owed]],0)</f>
        <v>0</v>
      </c>
      <c r="X169" s="9">
        <f>Table1[[#This Row],[Extra Taxes From Amt]]+Table1[[#This Row],[Federal Taxes Owed (No AMT)]]</f>
        <v>-2170</v>
      </c>
      <c r="Y169" s="9">
        <f>IF(Table1[[#This Row],[taxable wages]]&gt;obamacare_surcharge_amount,obamacare_surcharge_percent*(Table1[[#This Row],[taxable wages]]-obamacare_surcharge_amount),0)</f>
        <v>0</v>
      </c>
      <c r="Z169" s="9">
        <f>Table1[[#This Row],[Federal Taxes Owed (Includes AMT)]]+Table1[[#This Row],[Obamacare surcharge premium]]</f>
        <v>-2170</v>
      </c>
      <c r="AA169" s="9">
        <f>Table1[[#This Row],[taxable wages]]-Table1[[#This Row],[Federal Taxes Owed2]]</f>
        <v>68170</v>
      </c>
      <c r="AB169" s="51">
        <f t="shared" si="21"/>
        <v>0.15</v>
      </c>
      <c r="AC169" s="41"/>
      <c r="AD169" s="13"/>
      <c r="AE169" s="13"/>
    </row>
    <row r="170" spans="2:31" x14ac:dyDescent="0.3">
      <c r="B170" s="41">
        <f t="shared" si="22"/>
        <v>66500</v>
      </c>
      <c r="C170" s="1">
        <f>Table1[[#This Row],[taxable wages]]</f>
        <v>66500</v>
      </c>
      <c r="D170" s="1">
        <f>Table1[[#This Row],[taxable wages]]+interest+dividends+short_term_capital_gains+long_term_capital_gains</f>
        <v>66500</v>
      </c>
      <c r="E170" s="1">
        <f>MAX(Table1[[#This Row],[earned income for EITC]:[Agi For Eitc Calc]])</f>
        <v>66500</v>
      </c>
      <c r="F170" s="1">
        <f>Table1[[#This Row],[taxable wages]]+interest+dividends+short_term_capital_gains+long_term_capital_gains-(trad_ira_contributions+MIN(student_loan_interest_cap,student_loan_interest))</f>
        <v>66500</v>
      </c>
      <c r="G170" s="1">
        <f t="shared" si="18"/>
        <v>12600</v>
      </c>
      <c r="H170" s="1">
        <f t="shared" si="19"/>
        <v>28350</v>
      </c>
      <c r="I170" s="1">
        <f>MAX(0,Table1[[#This Row],[Agi]]-Table1[[#This Row],[Exemptions]]-Table1[[#This Row],[Effective Deductions]])</f>
        <v>25550</v>
      </c>
      <c r="J1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2905</v>
      </c>
      <c r="K170" s="1">
        <f t="shared" si="20"/>
        <v>5000</v>
      </c>
      <c r="L170" s="1">
        <f>IF(Table1[[#This Row],[Agi]]&gt;ctc_phase_out_begins,ctc_phase_out_rate*(Table1[[#This Row],[Agi]]-ctc_phase_out_begins),0)</f>
        <v>0</v>
      </c>
      <c r="M170" s="1">
        <f>MAX(Table1[[#This Row],[Child Tax Credit]]-Table1[[#This Row],[Child Tax Credit Phase Out]],0)</f>
        <v>5000</v>
      </c>
      <c r="N170" s="1">
        <f>MAX(Table1[[#This Row],[Regular Taxes Owed]]-Table1[[#This Row],[Effective Child Tax Credit]],0)</f>
        <v>0</v>
      </c>
      <c r="O170" s="1">
        <f>MAX(MIN((Table1[[#This Row],[taxable wages]]-3000)*0.15,1000*num_kids_16_younger),0)</f>
        <v>5000</v>
      </c>
      <c r="P170" s="9">
        <f>IF(Table1[[#This Row],[Effective Child Tax Credit]]&gt;Table1[[#This Row],[Regular Taxes Owed]],Table1[[#This Row],[Additional Child Tax Credit ]]-Table1[[#This Row],[Regular Taxes Owed]],0)</f>
        <v>2095</v>
      </c>
      <c r="Q1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0" s="1">
        <f>Table1[[#This Row],[Effective Additional Child Tax Credit]]+Table1[[#This Row],[Eitc]]</f>
        <v>2095</v>
      </c>
      <c r="S170" s="9">
        <f>Table1[[#This Row],[Regular Taxes Owed - Effective Child Tax Credit]]-Table1[[#This Row],[Total Credits]]</f>
        <v>-2095</v>
      </c>
      <c r="T170" s="9">
        <f>Table1[[#This Row],[taxable wages]]+interest+dividends+short_term_capital_gains+long_term_capital_gains-(charitable_donations+mortgage_interest)</f>
        <v>66500</v>
      </c>
      <c r="U170" s="9">
        <f>MAX(amt_exemption-amt_exemption_phase_out_rate*MAX(Table1[[#This Row],[taxable wages]]-amt_phase_out_begins,0),0)</f>
        <v>83800</v>
      </c>
      <c r="V1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0" s="1">
        <f>IF(AND(Table1[[#This Row],[AMT Taxes]]&gt;Table1[[#This Row],[Regular Taxes Owed]],Table1[[#This Row],[AMT Taxes]]&gt;0),Table1[[#This Row],[AMT Taxes]]-Table1[[#This Row],[Regular Taxes Owed]],0)</f>
        <v>0</v>
      </c>
      <c r="X170" s="9">
        <f>Table1[[#This Row],[Extra Taxes From Amt]]+Table1[[#This Row],[Federal Taxes Owed (No AMT)]]</f>
        <v>-2095</v>
      </c>
      <c r="Y170" s="9">
        <f>IF(Table1[[#This Row],[taxable wages]]&gt;obamacare_surcharge_amount,obamacare_surcharge_percent*(Table1[[#This Row],[taxable wages]]-obamacare_surcharge_amount),0)</f>
        <v>0</v>
      </c>
      <c r="Z170" s="9">
        <f>Table1[[#This Row],[Federal Taxes Owed (Includes AMT)]]+Table1[[#This Row],[Obamacare surcharge premium]]</f>
        <v>-2095</v>
      </c>
      <c r="AA170" s="9">
        <f>Table1[[#This Row],[taxable wages]]-Table1[[#This Row],[Federal Taxes Owed2]]</f>
        <v>68595</v>
      </c>
      <c r="AB170" s="51">
        <f t="shared" si="21"/>
        <v>0.15</v>
      </c>
      <c r="AC170" s="41"/>
      <c r="AD170" s="13"/>
      <c r="AE170" s="13"/>
    </row>
    <row r="171" spans="2:31" x14ac:dyDescent="0.3">
      <c r="B171" s="41">
        <f t="shared" si="22"/>
        <v>67000</v>
      </c>
      <c r="C171" s="1">
        <f>Table1[[#This Row],[taxable wages]]</f>
        <v>67000</v>
      </c>
      <c r="D171" s="1">
        <f>Table1[[#This Row],[taxable wages]]+interest+dividends+short_term_capital_gains+long_term_capital_gains</f>
        <v>67000</v>
      </c>
      <c r="E171" s="1">
        <f>MAX(Table1[[#This Row],[earned income for EITC]:[Agi For Eitc Calc]])</f>
        <v>67000</v>
      </c>
      <c r="F171" s="1">
        <f>Table1[[#This Row],[taxable wages]]+interest+dividends+short_term_capital_gains+long_term_capital_gains-(trad_ira_contributions+MIN(student_loan_interest_cap,student_loan_interest))</f>
        <v>67000</v>
      </c>
      <c r="G171" s="1">
        <f t="shared" si="18"/>
        <v>12600</v>
      </c>
      <c r="H171" s="1">
        <f t="shared" si="19"/>
        <v>28350</v>
      </c>
      <c r="I171" s="1">
        <f>MAX(0,Table1[[#This Row],[Agi]]-Table1[[#This Row],[Exemptions]]-Table1[[#This Row],[Effective Deductions]])</f>
        <v>26050</v>
      </c>
      <c r="J1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2980</v>
      </c>
      <c r="K171" s="1">
        <f t="shared" si="20"/>
        <v>5000</v>
      </c>
      <c r="L171" s="1">
        <f>IF(Table1[[#This Row],[Agi]]&gt;ctc_phase_out_begins,ctc_phase_out_rate*(Table1[[#This Row],[Agi]]-ctc_phase_out_begins),0)</f>
        <v>0</v>
      </c>
      <c r="M171" s="1">
        <f>MAX(Table1[[#This Row],[Child Tax Credit]]-Table1[[#This Row],[Child Tax Credit Phase Out]],0)</f>
        <v>5000</v>
      </c>
      <c r="N171" s="1">
        <f>MAX(Table1[[#This Row],[Regular Taxes Owed]]-Table1[[#This Row],[Effective Child Tax Credit]],0)</f>
        <v>0</v>
      </c>
      <c r="O171" s="1">
        <f>MAX(MIN((Table1[[#This Row],[taxable wages]]-3000)*0.15,1000*num_kids_16_younger),0)</f>
        <v>5000</v>
      </c>
      <c r="P171" s="9">
        <f>IF(Table1[[#This Row],[Effective Child Tax Credit]]&gt;Table1[[#This Row],[Regular Taxes Owed]],Table1[[#This Row],[Additional Child Tax Credit ]]-Table1[[#This Row],[Regular Taxes Owed]],0)</f>
        <v>2020</v>
      </c>
      <c r="Q1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1" s="1">
        <f>Table1[[#This Row],[Effective Additional Child Tax Credit]]+Table1[[#This Row],[Eitc]]</f>
        <v>2020</v>
      </c>
      <c r="S171" s="9">
        <f>Table1[[#This Row],[Regular Taxes Owed - Effective Child Tax Credit]]-Table1[[#This Row],[Total Credits]]</f>
        <v>-2020</v>
      </c>
      <c r="T171" s="9">
        <f>Table1[[#This Row],[taxable wages]]+interest+dividends+short_term_capital_gains+long_term_capital_gains-(charitable_donations+mortgage_interest)</f>
        <v>67000</v>
      </c>
      <c r="U171" s="9">
        <f>MAX(amt_exemption-amt_exemption_phase_out_rate*MAX(Table1[[#This Row],[taxable wages]]-amt_phase_out_begins,0),0)</f>
        <v>83800</v>
      </c>
      <c r="V1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1" s="1">
        <f>IF(AND(Table1[[#This Row],[AMT Taxes]]&gt;Table1[[#This Row],[Regular Taxes Owed]],Table1[[#This Row],[AMT Taxes]]&gt;0),Table1[[#This Row],[AMT Taxes]]-Table1[[#This Row],[Regular Taxes Owed]],0)</f>
        <v>0</v>
      </c>
      <c r="X171" s="9">
        <f>Table1[[#This Row],[Extra Taxes From Amt]]+Table1[[#This Row],[Federal Taxes Owed (No AMT)]]</f>
        <v>-2020</v>
      </c>
      <c r="Y171" s="9">
        <f>IF(Table1[[#This Row],[taxable wages]]&gt;obamacare_surcharge_amount,obamacare_surcharge_percent*(Table1[[#This Row],[taxable wages]]-obamacare_surcharge_amount),0)</f>
        <v>0</v>
      </c>
      <c r="Z171" s="9">
        <f>Table1[[#This Row],[Federal Taxes Owed (Includes AMT)]]+Table1[[#This Row],[Obamacare surcharge premium]]</f>
        <v>-2020</v>
      </c>
      <c r="AA171" s="9">
        <f>Table1[[#This Row],[taxable wages]]-Table1[[#This Row],[Federal Taxes Owed2]]</f>
        <v>69020</v>
      </c>
      <c r="AB171" s="51">
        <f t="shared" si="21"/>
        <v>0.15</v>
      </c>
      <c r="AC171" s="41"/>
      <c r="AD171" s="13"/>
      <c r="AE171" s="13"/>
    </row>
    <row r="172" spans="2:31" x14ac:dyDescent="0.3">
      <c r="B172" s="41">
        <f t="shared" si="22"/>
        <v>67500</v>
      </c>
      <c r="C172" s="1">
        <f>Table1[[#This Row],[taxable wages]]</f>
        <v>67500</v>
      </c>
      <c r="D172" s="1">
        <f>Table1[[#This Row],[taxable wages]]+interest+dividends+short_term_capital_gains+long_term_capital_gains</f>
        <v>67500</v>
      </c>
      <c r="E172" s="1">
        <f>MAX(Table1[[#This Row],[earned income for EITC]:[Agi For Eitc Calc]])</f>
        <v>67500</v>
      </c>
      <c r="F172" s="1">
        <f>Table1[[#This Row],[taxable wages]]+interest+dividends+short_term_capital_gains+long_term_capital_gains-(trad_ira_contributions+MIN(student_loan_interest_cap,student_loan_interest))</f>
        <v>67500</v>
      </c>
      <c r="G172" s="1">
        <f t="shared" si="18"/>
        <v>12600</v>
      </c>
      <c r="H172" s="1">
        <f t="shared" si="19"/>
        <v>28350</v>
      </c>
      <c r="I172" s="1">
        <f>MAX(0,Table1[[#This Row],[Agi]]-Table1[[#This Row],[Exemptions]]-Table1[[#This Row],[Effective Deductions]])</f>
        <v>26550</v>
      </c>
      <c r="J1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3055</v>
      </c>
      <c r="K172" s="1">
        <f t="shared" si="20"/>
        <v>5000</v>
      </c>
      <c r="L172" s="1">
        <f>IF(Table1[[#This Row],[Agi]]&gt;ctc_phase_out_begins,ctc_phase_out_rate*(Table1[[#This Row],[Agi]]-ctc_phase_out_begins),0)</f>
        <v>0</v>
      </c>
      <c r="M172" s="1">
        <f>MAX(Table1[[#This Row],[Child Tax Credit]]-Table1[[#This Row],[Child Tax Credit Phase Out]],0)</f>
        <v>5000</v>
      </c>
      <c r="N172" s="1">
        <f>MAX(Table1[[#This Row],[Regular Taxes Owed]]-Table1[[#This Row],[Effective Child Tax Credit]],0)</f>
        <v>0</v>
      </c>
      <c r="O172" s="1">
        <f>MAX(MIN((Table1[[#This Row],[taxable wages]]-3000)*0.15,1000*num_kids_16_younger),0)</f>
        <v>5000</v>
      </c>
      <c r="P172" s="9">
        <f>IF(Table1[[#This Row],[Effective Child Tax Credit]]&gt;Table1[[#This Row],[Regular Taxes Owed]],Table1[[#This Row],[Additional Child Tax Credit ]]-Table1[[#This Row],[Regular Taxes Owed]],0)</f>
        <v>1945</v>
      </c>
      <c r="Q1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2" s="1">
        <f>Table1[[#This Row],[Effective Additional Child Tax Credit]]+Table1[[#This Row],[Eitc]]</f>
        <v>1945</v>
      </c>
      <c r="S172" s="9">
        <f>Table1[[#This Row],[Regular Taxes Owed - Effective Child Tax Credit]]-Table1[[#This Row],[Total Credits]]</f>
        <v>-1945</v>
      </c>
      <c r="T172" s="9">
        <f>Table1[[#This Row],[taxable wages]]+interest+dividends+short_term_capital_gains+long_term_capital_gains-(charitable_donations+mortgage_interest)</f>
        <v>67500</v>
      </c>
      <c r="U172" s="9">
        <f>MAX(amt_exemption-amt_exemption_phase_out_rate*MAX(Table1[[#This Row],[taxable wages]]-amt_phase_out_begins,0),0)</f>
        <v>83800</v>
      </c>
      <c r="V1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2" s="1">
        <f>IF(AND(Table1[[#This Row],[AMT Taxes]]&gt;Table1[[#This Row],[Regular Taxes Owed]],Table1[[#This Row],[AMT Taxes]]&gt;0),Table1[[#This Row],[AMT Taxes]]-Table1[[#This Row],[Regular Taxes Owed]],0)</f>
        <v>0</v>
      </c>
      <c r="X172" s="9">
        <f>Table1[[#This Row],[Extra Taxes From Amt]]+Table1[[#This Row],[Federal Taxes Owed (No AMT)]]</f>
        <v>-1945</v>
      </c>
      <c r="Y172" s="9">
        <f>IF(Table1[[#This Row],[taxable wages]]&gt;obamacare_surcharge_amount,obamacare_surcharge_percent*(Table1[[#This Row],[taxable wages]]-obamacare_surcharge_amount),0)</f>
        <v>0</v>
      </c>
      <c r="Z172" s="9">
        <f>Table1[[#This Row],[Federal Taxes Owed (Includes AMT)]]+Table1[[#This Row],[Obamacare surcharge premium]]</f>
        <v>-1945</v>
      </c>
      <c r="AA172" s="9">
        <f>Table1[[#This Row],[taxable wages]]-Table1[[#This Row],[Federal Taxes Owed2]]</f>
        <v>69445</v>
      </c>
      <c r="AB172" s="51">
        <f t="shared" si="21"/>
        <v>0.15</v>
      </c>
      <c r="AC172" s="41"/>
      <c r="AD172" s="13"/>
      <c r="AE172" s="13"/>
    </row>
    <row r="173" spans="2:31" x14ac:dyDescent="0.3">
      <c r="B173" s="41">
        <f t="shared" si="22"/>
        <v>68000</v>
      </c>
      <c r="C173" s="1">
        <f>Table1[[#This Row],[taxable wages]]</f>
        <v>68000</v>
      </c>
      <c r="D173" s="1">
        <f>Table1[[#This Row],[taxable wages]]+interest+dividends+short_term_capital_gains+long_term_capital_gains</f>
        <v>68000</v>
      </c>
      <c r="E173" s="1">
        <f>MAX(Table1[[#This Row],[earned income for EITC]:[Agi For Eitc Calc]])</f>
        <v>68000</v>
      </c>
      <c r="F173" s="1">
        <f>Table1[[#This Row],[taxable wages]]+interest+dividends+short_term_capital_gains+long_term_capital_gains-(trad_ira_contributions+MIN(student_loan_interest_cap,student_loan_interest))</f>
        <v>68000</v>
      </c>
      <c r="G173" s="1">
        <f t="shared" si="18"/>
        <v>12600</v>
      </c>
      <c r="H173" s="1">
        <f t="shared" si="19"/>
        <v>28350</v>
      </c>
      <c r="I173" s="1">
        <f>MAX(0,Table1[[#This Row],[Agi]]-Table1[[#This Row],[Exemptions]]-Table1[[#This Row],[Effective Deductions]])</f>
        <v>27050</v>
      </c>
      <c r="J1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3130</v>
      </c>
      <c r="K173" s="1">
        <f t="shared" si="20"/>
        <v>5000</v>
      </c>
      <c r="L173" s="1">
        <f>IF(Table1[[#This Row],[Agi]]&gt;ctc_phase_out_begins,ctc_phase_out_rate*(Table1[[#This Row],[Agi]]-ctc_phase_out_begins),0)</f>
        <v>0</v>
      </c>
      <c r="M173" s="1">
        <f>MAX(Table1[[#This Row],[Child Tax Credit]]-Table1[[#This Row],[Child Tax Credit Phase Out]],0)</f>
        <v>5000</v>
      </c>
      <c r="N173" s="1">
        <f>MAX(Table1[[#This Row],[Regular Taxes Owed]]-Table1[[#This Row],[Effective Child Tax Credit]],0)</f>
        <v>0</v>
      </c>
      <c r="O173" s="1">
        <f>MAX(MIN((Table1[[#This Row],[taxable wages]]-3000)*0.15,1000*num_kids_16_younger),0)</f>
        <v>5000</v>
      </c>
      <c r="P173" s="9">
        <f>IF(Table1[[#This Row],[Effective Child Tax Credit]]&gt;Table1[[#This Row],[Regular Taxes Owed]],Table1[[#This Row],[Additional Child Tax Credit ]]-Table1[[#This Row],[Regular Taxes Owed]],0)</f>
        <v>1870</v>
      </c>
      <c r="Q1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3" s="1">
        <f>Table1[[#This Row],[Effective Additional Child Tax Credit]]+Table1[[#This Row],[Eitc]]</f>
        <v>1870</v>
      </c>
      <c r="S173" s="9">
        <f>Table1[[#This Row],[Regular Taxes Owed - Effective Child Tax Credit]]-Table1[[#This Row],[Total Credits]]</f>
        <v>-1870</v>
      </c>
      <c r="T173" s="9">
        <f>Table1[[#This Row],[taxable wages]]+interest+dividends+short_term_capital_gains+long_term_capital_gains-(charitable_donations+mortgage_interest)</f>
        <v>68000</v>
      </c>
      <c r="U173" s="9">
        <f>MAX(amt_exemption-amt_exemption_phase_out_rate*MAX(Table1[[#This Row],[taxable wages]]-amt_phase_out_begins,0),0)</f>
        <v>83800</v>
      </c>
      <c r="V1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3" s="1">
        <f>IF(AND(Table1[[#This Row],[AMT Taxes]]&gt;Table1[[#This Row],[Regular Taxes Owed]],Table1[[#This Row],[AMT Taxes]]&gt;0),Table1[[#This Row],[AMT Taxes]]-Table1[[#This Row],[Regular Taxes Owed]],0)</f>
        <v>0</v>
      </c>
      <c r="X173" s="9">
        <f>Table1[[#This Row],[Extra Taxes From Amt]]+Table1[[#This Row],[Federal Taxes Owed (No AMT)]]</f>
        <v>-1870</v>
      </c>
      <c r="Y173" s="9">
        <f>IF(Table1[[#This Row],[taxable wages]]&gt;obamacare_surcharge_amount,obamacare_surcharge_percent*(Table1[[#This Row],[taxable wages]]-obamacare_surcharge_amount),0)</f>
        <v>0</v>
      </c>
      <c r="Z173" s="9">
        <f>Table1[[#This Row],[Federal Taxes Owed (Includes AMT)]]+Table1[[#This Row],[Obamacare surcharge premium]]</f>
        <v>-1870</v>
      </c>
      <c r="AA173" s="9">
        <f>Table1[[#This Row],[taxable wages]]-Table1[[#This Row],[Federal Taxes Owed2]]</f>
        <v>69870</v>
      </c>
      <c r="AB173" s="51">
        <f t="shared" si="21"/>
        <v>0.15</v>
      </c>
      <c r="AC173" s="41"/>
      <c r="AD173" s="13"/>
      <c r="AE173" s="13"/>
    </row>
    <row r="174" spans="2:31" x14ac:dyDescent="0.3">
      <c r="B174" s="41">
        <f t="shared" si="22"/>
        <v>68500</v>
      </c>
      <c r="C174" s="1">
        <f>Table1[[#This Row],[taxable wages]]</f>
        <v>68500</v>
      </c>
      <c r="D174" s="1">
        <f>Table1[[#This Row],[taxable wages]]+interest+dividends+short_term_capital_gains+long_term_capital_gains</f>
        <v>68500</v>
      </c>
      <c r="E174" s="1">
        <f>MAX(Table1[[#This Row],[earned income for EITC]:[Agi For Eitc Calc]])</f>
        <v>68500</v>
      </c>
      <c r="F174" s="1">
        <f>Table1[[#This Row],[taxable wages]]+interest+dividends+short_term_capital_gains+long_term_capital_gains-(trad_ira_contributions+MIN(student_loan_interest_cap,student_loan_interest))</f>
        <v>68500</v>
      </c>
      <c r="G174" s="1">
        <f t="shared" si="18"/>
        <v>12600</v>
      </c>
      <c r="H174" s="1">
        <f t="shared" si="19"/>
        <v>28350</v>
      </c>
      <c r="I174" s="1">
        <f>MAX(0,Table1[[#This Row],[Agi]]-Table1[[#This Row],[Exemptions]]-Table1[[#This Row],[Effective Deductions]])</f>
        <v>27550</v>
      </c>
      <c r="J1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3205</v>
      </c>
      <c r="K174" s="1">
        <f t="shared" si="20"/>
        <v>5000</v>
      </c>
      <c r="L174" s="1">
        <f>IF(Table1[[#This Row],[Agi]]&gt;ctc_phase_out_begins,ctc_phase_out_rate*(Table1[[#This Row],[Agi]]-ctc_phase_out_begins),0)</f>
        <v>0</v>
      </c>
      <c r="M174" s="1">
        <f>MAX(Table1[[#This Row],[Child Tax Credit]]-Table1[[#This Row],[Child Tax Credit Phase Out]],0)</f>
        <v>5000</v>
      </c>
      <c r="N174" s="1">
        <f>MAX(Table1[[#This Row],[Regular Taxes Owed]]-Table1[[#This Row],[Effective Child Tax Credit]],0)</f>
        <v>0</v>
      </c>
      <c r="O174" s="1">
        <f>MAX(MIN((Table1[[#This Row],[taxable wages]]-3000)*0.15,1000*num_kids_16_younger),0)</f>
        <v>5000</v>
      </c>
      <c r="P174" s="9">
        <f>IF(Table1[[#This Row],[Effective Child Tax Credit]]&gt;Table1[[#This Row],[Regular Taxes Owed]],Table1[[#This Row],[Additional Child Tax Credit ]]-Table1[[#This Row],[Regular Taxes Owed]],0)</f>
        <v>1795</v>
      </c>
      <c r="Q1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4" s="1">
        <f>Table1[[#This Row],[Effective Additional Child Tax Credit]]+Table1[[#This Row],[Eitc]]</f>
        <v>1795</v>
      </c>
      <c r="S174" s="9">
        <f>Table1[[#This Row],[Regular Taxes Owed - Effective Child Tax Credit]]-Table1[[#This Row],[Total Credits]]</f>
        <v>-1795</v>
      </c>
      <c r="T174" s="9">
        <f>Table1[[#This Row],[taxable wages]]+interest+dividends+short_term_capital_gains+long_term_capital_gains-(charitable_donations+mortgage_interest)</f>
        <v>68500</v>
      </c>
      <c r="U174" s="9">
        <f>MAX(amt_exemption-amt_exemption_phase_out_rate*MAX(Table1[[#This Row],[taxable wages]]-amt_phase_out_begins,0),0)</f>
        <v>83800</v>
      </c>
      <c r="V1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4" s="1">
        <f>IF(AND(Table1[[#This Row],[AMT Taxes]]&gt;Table1[[#This Row],[Regular Taxes Owed]],Table1[[#This Row],[AMT Taxes]]&gt;0),Table1[[#This Row],[AMT Taxes]]-Table1[[#This Row],[Regular Taxes Owed]],0)</f>
        <v>0</v>
      </c>
      <c r="X174" s="9">
        <f>Table1[[#This Row],[Extra Taxes From Amt]]+Table1[[#This Row],[Federal Taxes Owed (No AMT)]]</f>
        <v>-1795</v>
      </c>
      <c r="Y174" s="9">
        <f>IF(Table1[[#This Row],[taxable wages]]&gt;obamacare_surcharge_amount,obamacare_surcharge_percent*(Table1[[#This Row],[taxable wages]]-obamacare_surcharge_amount),0)</f>
        <v>0</v>
      </c>
      <c r="Z174" s="9">
        <f>Table1[[#This Row],[Federal Taxes Owed (Includes AMT)]]+Table1[[#This Row],[Obamacare surcharge premium]]</f>
        <v>-1795</v>
      </c>
      <c r="AA174" s="9">
        <f>Table1[[#This Row],[taxable wages]]-Table1[[#This Row],[Federal Taxes Owed2]]</f>
        <v>70295</v>
      </c>
      <c r="AB174" s="51">
        <f t="shared" si="21"/>
        <v>0.15</v>
      </c>
      <c r="AC174" s="41"/>
      <c r="AD174" s="13"/>
      <c r="AE174" s="13"/>
    </row>
    <row r="175" spans="2:31" x14ac:dyDescent="0.3">
      <c r="B175" s="41">
        <f t="shared" si="22"/>
        <v>69000</v>
      </c>
      <c r="C175" s="1">
        <f>Table1[[#This Row],[taxable wages]]</f>
        <v>69000</v>
      </c>
      <c r="D175" s="1">
        <f>Table1[[#This Row],[taxable wages]]+interest+dividends+short_term_capital_gains+long_term_capital_gains</f>
        <v>69000</v>
      </c>
      <c r="E175" s="1">
        <f>MAX(Table1[[#This Row],[earned income for EITC]:[Agi For Eitc Calc]])</f>
        <v>69000</v>
      </c>
      <c r="F175" s="1">
        <f>Table1[[#This Row],[taxable wages]]+interest+dividends+short_term_capital_gains+long_term_capital_gains-(trad_ira_contributions+MIN(student_loan_interest_cap,student_loan_interest))</f>
        <v>69000</v>
      </c>
      <c r="G175" s="1">
        <f t="shared" si="18"/>
        <v>12600</v>
      </c>
      <c r="H175" s="1">
        <f t="shared" si="19"/>
        <v>28350</v>
      </c>
      <c r="I175" s="1">
        <f>MAX(0,Table1[[#This Row],[Agi]]-Table1[[#This Row],[Exemptions]]-Table1[[#This Row],[Effective Deductions]])</f>
        <v>28050</v>
      </c>
      <c r="J1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3280</v>
      </c>
      <c r="K175" s="1">
        <f t="shared" si="20"/>
        <v>5000</v>
      </c>
      <c r="L175" s="1">
        <f>IF(Table1[[#This Row],[Agi]]&gt;ctc_phase_out_begins,ctc_phase_out_rate*(Table1[[#This Row],[Agi]]-ctc_phase_out_begins),0)</f>
        <v>0</v>
      </c>
      <c r="M175" s="1">
        <f>MAX(Table1[[#This Row],[Child Tax Credit]]-Table1[[#This Row],[Child Tax Credit Phase Out]],0)</f>
        <v>5000</v>
      </c>
      <c r="N175" s="1">
        <f>MAX(Table1[[#This Row],[Regular Taxes Owed]]-Table1[[#This Row],[Effective Child Tax Credit]],0)</f>
        <v>0</v>
      </c>
      <c r="O175" s="1">
        <f>MAX(MIN((Table1[[#This Row],[taxable wages]]-3000)*0.15,1000*num_kids_16_younger),0)</f>
        <v>5000</v>
      </c>
      <c r="P175" s="9">
        <f>IF(Table1[[#This Row],[Effective Child Tax Credit]]&gt;Table1[[#This Row],[Regular Taxes Owed]],Table1[[#This Row],[Additional Child Tax Credit ]]-Table1[[#This Row],[Regular Taxes Owed]],0)</f>
        <v>1720</v>
      </c>
      <c r="Q1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5" s="1">
        <f>Table1[[#This Row],[Effective Additional Child Tax Credit]]+Table1[[#This Row],[Eitc]]</f>
        <v>1720</v>
      </c>
      <c r="S175" s="9">
        <f>Table1[[#This Row],[Regular Taxes Owed - Effective Child Tax Credit]]-Table1[[#This Row],[Total Credits]]</f>
        <v>-1720</v>
      </c>
      <c r="T175" s="9">
        <f>Table1[[#This Row],[taxable wages]]+interest+dividends+short_term_capital_gains+long_term_capital_gains-(charitable_donations+mortgage_interest)</f>
        <v>69000</v>
      </c>
      <c r="U175" s="9">
        <f>MAX(amt_exemption-amt_exemption_phase_out_rate*MAX(Table1[[#This Row],[taxable wages]]-amt_phase_out_begins,0),0)</f>
        <v>83800</v>
      </c>
      <c r="V1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5" s="1">
        <f>IF(AND(Table1[[#This Row],[AMT Taxes]]&gt;Table1[[#This Row],[Regular Taxes Owed]],Table1[[#This Row],[AMT Taxes]]&gt;0),Table1[[#This Row],[AMT Taxes]]-Table1[[#This Row],[Regular Taxes Owed]],0)</f>
        <v>0</v>
      </c>
      <c r="X175" s="9">
        <f>Table1[[#This Row],[Extra Taxes From Amt]]+Table1[[#This Row],[Federal Taxes Owed (No AMT)]]</f>
        <v>-1720</v>
      </c>
      <c r="Y175" s="9">
        <f>IF(Table1[[#This Row],[taxable wages]]&gt;obamacare_surcharge_amount,obamacare_surcharge_percent*(Table1[[#This Row],[taxable wages]]-obamacare_surcharge_amount),0)</f>
        <v>0</v>
      </c>
      <c r="Z175" s="9">
        <f>Table1[[#This Row],[Federal Taxes Owed (Includes AMT)]]+Table1[[#This Row],[Obamacare surcharge premium]]</f>
        <v>-1720</v>
      </c>
      <c r="AA175" s="9">
        <f>Table1[[#This Row],[taxable wages]]-Table1[[#This Row],[Federal Taxes Owed2]]</f>
        <v>70720</v>
      </c>
      <c r="AB175" s="51">
        <f t="shared" si="21"/>
        <v>0.15</v>
      </c>
      <c r="AC175" s="41"/>
      <c r="AD175" s="13"/>
      <c r="AE175" s="13"/>
    </row>
    <row r="176" spans="2:31" x14ac:dyDescent="0.3">
      <c r="B176" s="41">
        <f t="shared" si="22"/>
        <v>69500</v>
      </c>
      <c r="C176" s="1">
        <f>Table1[[#This Row],[taxable wages]]</f>
        <v>69500</v>
      </c>
      <c r="D176" s="1">
        <f>Table1[[#This Row],[taxable wages]]+interest+dividends+short_term_capital_gains+long_term_capital_gains</f>
        <v>69500</v>
      </c>
      <c r="E176" s="1">
        <f>MAX(Table1[[#This Row],[earned income for EITC]:[Agi For Eitc Calc]])</f>
        <v>69500</v>
      </c>
      <c r="F176" s="1">
        <f>Table1[[#This Row],[taxable wages]]+interest+dividends+short_term_capital_gains+long_term_capital_gains-(trad_ira_contributions+MIN(student_loan_interest_cap,student_loan_interest))</f>
        <v>69500</v>
      </c>
      <c r="G176" s="1">
        <f t="shared" si="18"/>
        <v>12600</v>
      </c>
      <c r="H176" s="1">
        <f t="shared" si="19"/>
        <v>28350</v>
      </c>
      <c r="I176" s="1">
        <f>MAX(0,Table1[[#This Row],[Agi]]-Table1[[#This Row],[Exemptions]]-Table1[[#This Row],[Effective Deductions]])</f>
        <v>28550</v>
      </c>
      <c r="J1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3355</v>
      </c>
      <c r="K176" s="1">
        <f t="shared" si="20"/>
        <v>5000</v>
      </c>
      <c r="L176" s="1">
        <f>IF(Table1[[#This Row],[Agi]]&gt;ctc_phase_out_begins,ctc_phase_out_rate*(Table1[[#This Row],[Agi]]-ctc_phase_out_begins),0)</f>
        <v>0</v>
      </c>
      <c r="M176" s="1">
        <f>MAX(Table1[[#This Row],[Child Tax Credit]]-Table1[[#This Row],[Child Tax Credit Phase Out]],0)</f>
        <v>5000</v>
      </c>
      <c r="N176" s="1">
        <f>MAX(Table1[[#This Row],[Regular Taxes Owed]]-Table1[[#This Row],[Effective Child Tax Credit]],0)</f>
        <v>0</v>
      </c>
      <c r="O176" s="1">
        <f>MAX(MIN((Table1[[#This Row],[taxable wages]]-3000)*0.15,1000*num_kids_16_younger),0)</f>
        <v>5000</v>
      </c>
      <c r="P176" s="9">
        <f>IF(Table1[[#This Row],[Effective Child Tax Credit]]&gt;Table1[[#This Row],[Regular Taxes Owed]],Table1[[#This Row],[Additional Child Tax Credit ]]-Table1[[#This Row],[Regular Taxes Owed]],0)</f>
        <v>1645</v>
      </c>
      <c r="Q1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6" s="1">
        <f>Table1[[#This Row],[Effective Additional Child Tax Credit]]+Table1[[#This Row],[Eitc]]</f>
        <v>1645</v>
      </c>
      <c r="S176" s="9">
        <f>Table1[[#This Row],[Regular Taxes Owed - Effective Child Tax Credit]]-Table1[[#This Row],[Total Credits]]</f>
        <v>-1645</v>
      </c>
      <c r="T176" s="9">
        <f>Table1[[#This Row],[taxable wages]]+interest+dividends+short_term_capital_gains+long_term_capital_gains-(charitable_donations+mortgage_interest)</f>
        <v>69500</v>
      </c>
      <c r="U176" s="9">
        <f>MAX(amt_exemption-amt_exemption_phase_out_rate*MAX(Table1[[#This Row],[taxable wages]]-amt_phase_out_begins,0),0)</f>
        <v>83800</v>
      </c>
      <c r="V1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6" s="1">
        <f>IF(AND(Table1[[#This Row],[AMT Taxes]]&gt;Table1[[#This Row],[Regular Taxes Owed]],Table1[[#This Row],[AMT Taxes]]&gt;0),Table1[[#This Row],[AMT Taxes]]-Table1[[#This Row],[Regular Taxes Owed]],0)</f>
        <v>0</v>
      </c>
      <c r="X176" s="9">
        <f>Table1[[#This Row],[Extra Taxes From Amt]]+Table1[[#This Row],[Federal Taxes Owed (No AMT)]]</f>
        <v>-1645</v>
      </c>
      <c r="Y176" s="9">
        <f>IF(Table1[[#This Row],[taxable wages]]&gt;obamacare_surcharge_amount,obamacare_surcharge_percent*(Table1[[#This Row],[taxable wages]]-obamacare_surcharge_amount),0)</f>
        <v>0</v>
      </c>
      <c r="Z176" s="9">
        <f>Table1[[#This Row],[Federal Taxes Owed (Includes AMT)]]+Table1[[#This Row],[Obamacare surcharge premium]]</f>
        <v>-1645</v>
      </c>
      <c r="AA176" s="9">
        <f>Table1[[#This Row],[taxable wages]]-Table1[[#This Row],[Federal Taxes Owed2]]</f>
        <v>71145</v>
      </c>
      <c r="AB176" s="51">
        <f t="shared" si="21"/>
        <v>0.15</v>
      </c>
      <c r="AC176" s="41"/>
      <c r="AD176" s="13"/>
      <c r="AE176" s="13"/>
    </row>
    <row r="177" spans="2:31" x14ac:dyDescent="0.3">
      <c r="B177" s="41">
        <f t="shared" si="22"/>
        <v>70000</v>
      </c>
      <c r="C177" s="1">
        <f>Table1[[#This Row],[taxable wages]]</f>
        <v>70000</v>
      </c>
      <c r="D177" s="1">
        <f>Table1[[#This Row],[taxable wages]]+interest+dividends+short_term_capital_gains+long_term_capital_gains</f>
        <v>70000</v>
      </c>
      <c r="E177" s="1">
        <f>MAX(Table1[[#This Row],[earned income for EITC]:[Agi For Eitc Calc]])</f>
        <v>70000</v>
      </c>
      <c r="F177" s="1">
        <f>Table1[[#This Row],[taxable wages]]+interest+dividends+short_term_capital_gains+long_term_capital_gains-(trad_ira_contributions+MIN(student_loan_interest_cap,student_loan_interest))</f>
        <v>70000</v>
      </c>
      <c r="G177" s="1">
        <f t="shared" si="18"/>
        <v>12600</v>
      </c>
      <c r="H177" s="1">
        <f t="shared" si="19"/>
        <v>28350</v>
      </c>
      <c r="I177" s="1">
        <f>MAX(0,Table1[[#This Row],[Agi]]-Table1[[#This Row],[Exemptions]]-Table1[[#This Row],[Effective Deductions]])</f>
        <v>29050</v>
      </c>
      <c r="J1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3430</v>
      </c>
      <c r="K177" s="1">
        <f t="shared" si="20"/>
        <v>5000</v>
      </c>
      <c r="L177" s="1">
        <f>IF(Table1[[#This Row],[Agi]]&gt;ctc_phase_out_begins,ctc_phase_out_rate*(Table1[[#This Row],[Agi]]-ctc_phase_out_begins),0)</f>
        <v>0</v>
      </c>
      <c r="M177" s="1">
        <f>MAX(Table1[[#This Row],[Child Tax Credit]]-Table1[[#This Row],[Child Tax Credit Phase Out]],0)</f>
        <v>5000</v>
      </c>
      <c r="N177" s="1">
        <f>MAX(Table1[[#This Row],[Regular Taxes Owed]]-Table1[[#This Row],[Effective Child Tax Credit]],0)</f>
        <v>0</v>
      </c>
      <c r="O177" s="1">
        <f>MAX(MIN((Table1[[#This Row],[taxable wages]]-3000)*0.15,1000*num_kids_16_younger),0)</f>
        <v>5000</v>
      </c>
      <c r="P177" s="9">
        <f>IF(Table1[[#This Row],[Effective Child Tax Credit]]&gt;Table1[[#This Row],[Regular Taxes Owed]],Table1[[#This Row],[Additional Child Tax Credit ]]-Table1[[#This Row],[Regular Taxes Owed]],0)</f>
        <v>1570</v>
      </c>
      <c r="Q1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7" s="1">
        <f>Table1[[#This Row],[Effective Additional Child Tax Credit]]+Table1[[#This Row],[Eitc]]</f>
        <v>1570</v>
      </c>
      <c r="S177" s="9">
        <f>Table1[[#This Row],[Regular Taxes Owed - Effective Child Tax Credit]]-Table1[[#This Row],[Total Credits]]</f>
        <v>-1570</v>
      </c>
      <c r="T177" s="9">
        <f>Table1[[#This Row],[taxable wages]]+interest+dividends+short_term_capital_gains+long_term_capital_gains-(charitable_donations+mortgage_interest)</f>
        <v>70000</v>
      </c>
      <c r="U177" s="9">
        <f>MAX(amt_exemption-amt_exemption_phase_out_rate*MAX(Table1[[#This Row],[taxable wages]]-amt_phase_out_begins,0),0)</f>
        <v>83800</v>
      </c>
      <c r="V1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7" s="1">
        <f>IF(AND(Table1[[#This Row],[AMT Taxes]]&gt;Table1[[#This Row],[Regular Taxes Owed]],Table1[[#This Row],[AMT Taxes]]&gt;0),Table1[[#This Row],[AMT Taxes]]-Table1[[#This Row],[Regular Taxes Owed]],0)</f>
        <v>0</v>
      </c>
      <c r="X177" s="9">
        <f>Table1[[#This Row],[Extra Taxes From Amt]]+Table1[[#This Row],[Federal Taxes Owed (No AMT)]]</f>
        <v>-1570</v>
      </c>
      <c r="Y177" s="9">
        <f>IF(Table1[[#This Row],[taxable wages]]&gt;obamacare_surcharge_amount,obamacare_surcharge_percent*(Table1[[#This Row],[taxable wages]]-obamacare_surcharge_amount),0)</f>
        <v>0</v>
      </c>
      <c r="Z177" s="9">
        <f>Table1[[#This Row],[Federal Taxes Owed (Includes AMT)]]+Table1[[#This Row],[Obamacare surcharge premium]]</f>
        <v>-1570</v>
      </c>
      <c r="AA177" s="9">
        <f>Table1[[#This Row],[taxable wages]]-Table1[[#This Row],[Federal Taxes Owed2]]</f>
        <v>71570</v>
      </c>
      <c r="AB177" s="51">
        <f t="shared" si="21"/>
        <v>0.15</v>
      </c>
      <c r="AC177" s="41"/>
      <c r="AD177" s="13"/>
      <c r="AE177" s="13"/>
    </row>
    <row r="178" spans="2:31" x14ac:dyDescent="0.3">
      <c r="B178" s="41">
        <f t="shared" si="22"/>
        <v>70500</v>
      </c>
      <c r="C178" s="1">
        <f>Table1[[#This Row],[taxable wages]]</f>
        <v>70500</v>
      </c>
      <c r="D178" s="1">
        <f>Table1[[#This Row],[taxable wages]]+interest+dividends+short_term_capital_gains+long_term_capital_gains</f>
        <v>70500</v>
      </c>
      <c r="E178" s="1">
        <f>MAX(Table1[[#This Row],[earned income for EITC]:[Agi For Eitc Calc]])</f>
        <v>70500</v>
      </c>
      <c r="F178" s="1">
        <f>Table1[[#This Row],[taxable wages]]+interest+dividends+short_term_capital_gains+long_term_capital_gains-(trad_ira_contributions+MIN(student_loan_interest_cap,student_loan_interest))</f>
        <v>70500</v>
      </c>
      <c r="G178" s="1">
        <f t="shared" si="18"/>
        <v>12600</v>
      </c>
      <c r="H178" s="1">
        <f t="shared" si="19"/>
        <v>28350</v>
      </c>
      <c r="I178" s="1">
        <f>MAX(0,Table1[[#This Row],[Agi]]-Table1[[#This Row],[Exemptions]]-Table1[[#This Row],[Effective Deductions]])</f>
        <v>29550</v>
      </c>
      <c r="J1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3505</v>
      </c>
      <c r="K178" s="1">
        <f t="shared" si="20"/>
        <v>5000</v>
      </c>
      <c r="L178" s="1">
        <f>IF(Table1[[#This Row],[Agi]]&gt;ctc_phase_out_begins,ctc_phase_out_rate*(Table1[[#This Row],[Agi]]-ctc_phase_out_begins),0)</f>
        <v>0</v>
      </c>
      <c r="M178" s="1">
        <f>MAX(Table1[[#This Row],[Child Tax Credit]]-Table1[[#This Row],[Child Tax Credit Phase Out]],0)</f>
        <v>5000</v>
      </c>
      <c r="N178" s="1">
        <f>MAX(Table1[[#This Row],[Regular Taxes Owed]]-Table1[[#This Row],[Effective Child Tax Credit]],0)</f>
        <v>0</v>
      </c>
      <c r="O178" s="1">
        <f>MAX(MIN((Table1[[#This Row],[taxable wages]]-3000)*0.15,1000*num_kids_16_younger),0)</f>
        <v>5000</v>
      </c>
      <c r="P178" s="9">
        <f>IF(Table1[[#This Row],[Effective Child Tax Credit]]&gt;Table1[[#This Row],[Regular Taxes Owed]],Table1[[#This Row],[Additional Child Tax Credit ]]-Table1[[#This Row],[Regular Taxes Owed]],0)</f>
        <v>1495</v>
      </c>
      <c r="Q1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8" s="1">
        <f>Table1[[#This Row],[Effective Additional Child Tax Credit]]+Table1[[#This Row],[Eitc]]</f>
        <v>1495</v>
      </c>
      <c r="S178" s="9">
        <f>Table1[[#This Row],[Regular Taxes Owed - Effective Child Tax Credit]]-Table1[[#This Row],[Total Credits]]</f>
        <v>-1495</v>
      </c>
      <c r="T178" s="9">
        <f>Table1[[#This Row],[taxable wages]]+interest+dividends+short_term_capital_gains+long_term_capital_gains-(charitable_donations+mortgage_interest)</f>
        <v>70500</v>
      </c>
      <c r="U178" s="9">
        <f>MAX(amt_exemption-amt_exemption_phase_out_rate*MAX(Table1[[#This Row],[taxable wages]]-amt_phase_out_begins,0),0)</f>
        <v>83800</v>
      </c>
      <c r="V1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8" s="1">
        <f>IF(AND(Table1[[#This Row],[AMT Taxes]]&gt;Table1[[#This Row],[Regular Taxes Owed]],Table1[[#This Row],[AMT Taxes]]&gt;0),Table1[[#This Row],[AMT Taxes]]-Table1[[#This Row],[Regular Taxes Owed]],0)</f>
        <v>0</v>
      </c>
      <c r="X178" s="9">
        <f>Table1[[#This Row],[Extra Taxes From Amt]]+Table1[[#This Row],[Federal Taxes Owed (No AMT)]]</f>
        <v>-1495</v>
      </c>
      <c r="Y178" s="9">
        <f>IF(Table1[[#This Row],[taxable wages]]&gt;obamacare_surcharge_amount,obamacare_surcharge_percent*(Table1[[#This Row],[taxable wages]]-obamacare_surcharge_amount),0)</f>
        <v>0</v>
      </c>
      <c r="Z178" s="9">
        <f>Table1[[#This Row],[Federal Taxes Owed (Includes AMT)]]+Table1[[#This Row],[Obamacare surcharge premium]]</f>
        <v>-1495</v>
      </c>
      <c r="AA178" s="9">
        <f>Table1[[#This Row],[taxable wages]]-Table1[[#This Row],[Federal Taxes Owed2]]</f>
        <v>71995</v>
      </c>
      <c r="AB178" s="51">
        <f t="shared" si="21"/>
        <v>0.15</v>
      </c>
      <c r="AC178" s="41"/>
      <c r="AD178" s="13"/>
      <c r="AE178" s="13"/>
    </row>
    <row r="179" spans="2:31" x14ac:dyDescent="0.3">
      <c r="B179" s="41">
        <f t="shared" si="22"/>
        <v>71000</v>
      </c>
      <c r="C179" s="1">
        <f>Table1[[#This Row],[taxable wages]]</f>
        <v>71000</v>
      </c>
      <c r="D179" s="1">
        <f>Table1[[#This Row],[taxable wages]]+interest+dividends+short_term_capital_gains+long_term_capital_gains</f>
        <v>71000</v>
      </c>
      <c r="E179" s="1">
        <f>MAX(Table1[[#This Row],[earned income for EITC]:[Agi For Eitc Calc]])</f>
        <v>71000</v>
      </c>
      <c r="F179" s="1">
        <f>Table1[[#This Row],[taxable wages]]+interest+dividends+short_term_capital_gains+long_term_capital_gains-(trad_ira_contributions+MIN(student_loan_interest_cap,student_loan_interest))</f>
        <v>71000</v>
      </c>
      <c r="G179" s="1">
        <f t="shared" si="18"/>
        <v>12600</v>
      </c>
      <c r="H179" s="1">
        <f t="shared" si="19"/>
        <v>28350</v>
      </c>
      <c r="I179" s="1">
        <f>MAX(0,Table1[[#This Row],[Agi]]-Table1[[#This Row],[Exemptions]]-Table1[[#This Row],[Effective Deductions]])</f>
        <v>30050</v>
      </c>
      <c r="J1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3580</v>
      </c>
      <c r="K179" s="1">
        <f t="shared" si="20"/>
        <v>5000</v>
      </c>
      <c r="L179" s="1">
        <f>IF(Table1[[#This Row],[Agi]]&gt;ctc_phase_out_begins,ctc_phase_out_rate*(Table1[[#This Row],[Agi]]-ctc_phase_out_begins),0)</f>
        <v>0</v>
      </c>
      <c r="M179" s="1">
        <f>MAX(Table1[[#This Row],[Child Tax Credit]]-Table1[[#This Row],[Child Tax Credit Phase Out]],0)</f>
        <v>5000</v>
      </c>
      <c r="N179" s="1">
        <f>MAX(Table1[[#This Row],[Regular Taxes Owed]]-Table1[[#This Row],[Effective Child Tax Credit]],0)</f>
        <v>0</v>
      </c>
      <c r="O179" s="1">
        <f>MAX(MIN((Table1[[#This Row],[taxable wages]]-3000)*0.15,1000*num_kids_16_younger),0)</f>
        <v>5000</v>
      </c>
      <c r="P179" s="9">
        <f>IF(Table1[[#This Row],[Effective Child Tax Credit]]&gt;Table1[[#This Row],[Regular Taxes Owed]],Table1[[#This Row],[Additional Child Tax Credit ]]-Table1[[#This Row],[Regular Taxes Owed]],0)</f>
        <v>1420</v>
      </c>
      <c r="Q1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79" s="1">
        <f>Table1[[#This Row],[Effective Additional Child Tax Credit]]+Table1[[#This Row],[Eitc]]</f>
        <v>1420</v>
      </c>
      <c r="S179" s="9">
        <f>Table1[[#This Row],[Regular Taxes Owed - Effective Child Tax Credit]]-Table1[[#This Row],[Total Credits]]</f>
        <v>-1420</v>
      </c>
      <c r="T179" s="9">
        <f>Table1[[#This Row],[taxable wages]]+interest+dividends+short_term_capital_gains+long_term_capital_gains-(charitable_donations+mortgage_interest)</f>
        <v>71000</v>
      </c>
      <c r="U179" s="9">
        <f>MAX(amt_exemption-amt_exemption_phase_out_rate*MAX(Table1[[#This Row],[taxable wages]]-amt_phase_out_begins,0),0)</f>
        <v>83800</v>
      </c>
      <c r="V1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79" s="1">
        <f>IF(AND(Table1[[#This Row],[AMT Taxes]]&gt;Table1[[#This Row],[Regular Taxes Owed]],Table1[[#This Row],[AMT Taxes]]&gt;0),Table1[[#This Row],[AMT Taxes]]-Table1[[#This Row],[Regular Taxes Owed]],0)</f>
        <v>0</v>
      </c>
      <c r="X179" s="9">
        <f>Table1[[#This Row],[Extra Taxes From Amt]]+Table1[[#This Row],[Federal Taxes Owed (No AMT)]]</f>
        <v>-1420</v>
      </c>
      <c r="Y179" s="9">
        <f>IF(Table1[[#This Row],[taxable wages]]&gt;obamacare_surcharge_amount,obamacare_surcharge_percent*(Table1[[#This Row],[taxable wages]]-obamacare_surcharge_amount),0)</f>
        <v>0</v>
      </c>
      <c r="Z179" s="9">
        <f>Table1[[#This Row],[Federal Taxes Owed (Includes AMT)]]+Table1[[#This Row],[Obamacare surcharge premium]]</f>
        <v>-1420</v>
      </c>
      <c r="AA179" s="9">
        <f>Table1[[#This Row],[taxable wages]]-Table1[[#This Row],[Federal Taxes Owed2]]</f>
        <v>72420</v>
      </c>
      <c r="AB179" s="51">
        <f t="shared" si="21"/>
        <v>0.15</v>
      </c>
      <c r="AC179" s="41"/>
      <c r="AD179" s="13"/>
      <c r="AE179" s="13"/>
    </row>
    <row r="180" spans="2:31" x14ac:dyDescent="0.3">
      <c r="B180" s="41">
        <f t="shared" si="22"/>
        <v>71500</v>
      </c>
      <c r="C180" s="1">
        <f>Table1[[#This Row],[taxable wages]]</f>
        <v>71500</v>
      </c>
      <c r="D180" s="1">
        <f>Table1[[#This Row],[taxable wages]]+interest+dividends+short_term_capital_gains+long_term_capital_gains</f>
        <v>71500</v>
      </c>
      <c r="E180" s="1">
        <f>MAX(Table1[[#This Row],[earned income for EITC]:[Agi For Eitc Calc]])</f>
        <v>71500</v>
      </c>
      <c r="F180" s="1">
        <f>Table1[[#This Row],[taxable wages]]+interest+dividends+short_term_capital_gains+long_term_capital_gains-(trad_ira_contributions+MIN(student_loan_interest_cap,student_loan_interest))</f>
        <v>71500</v>
      </c>
      <c r="G180" s="1">
        <f t="shared" si="18"/>
        <v>12600</v>
      </c>
      <c r="H180" s="1">
        <f t="shared" si="19"/>
        <v>28350</v>
      </c>
      <c r="I180" s="1">
        <f>MAX(0,Table1[[#This Row],[Agi]]-Table1[[#This Row],[Exemptions]]-Table1[[#This Row],[Effective Deductions]])</f>
        <v>30550</v>
      </c>
      <c r="J1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3655</v>
      </c>
      <c r="K180" s="1">
        <f t="shared" si="20"/>
        <v>5000</v>
      </c>
      <c r="L180" s="1">
        <f>IF(Table1[[#This Row],[Agi]]&gt;ctc_phase_out_begins,ctc_phase_out_rate*(Table1[[#This Row],[Agi]]-ctc_phase_out_begins),0)</f>
        <v>0</v>
      </c>
      <c r="M180" s="1">
        <f>MAX(Table1[[#This Row],[Child Tax Credit]]-Table1[[#This Row],[Child Tax Credit Phase Out]],0)</f>
        <v>5000</v>
      </c>
      <c r="N180" s="1">
        <f>MAX(Table1[[#This Row],[Regular Taxes Owed]]-Table1[[#This Row],[Effective Child Tax Credit]],0)</f>
        <v>0</v>
      </c>
      <c r="O180" s="1">
        <f>MAX(MIN((Table1[[#This Row],[taxable wages]]-3000)*0.15,1000*num_kids_16_younger),0)</f>
        <v>5000</v>
      </c>
      <c r="P180" s="9">
        <f>IF(Table1[[#This Row],[Effective Child Tax Credit]]&gt;Table1[[#This Row],[Regular Taxes Owed]],Table1[[#This Row],[Additional Child Tax Credit ]]-Table1[[#This Row],[Regular Taxes Owed]],0)</f>
        <v>1345</v>
      </c>
      <c r="Q1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0" s="1">
        <f>Table1[[#This Row],[Effective Additional Child Tax Credit]]+Table1[[#This Row],[Eitc]]</f>
        <v>1345</v>
      </c>
      <c r="S180" s="9">
        <f>Table1[[#This Row],[Regular Taxes Owed - Effective Child Tax Credit]]-Table1[[#This Row],[Total Credits]]</f>
        <v>-1345</v>
      </c>
      <c r="T180" s="9">
        <f>Table1[[#This Row],[taxable wages]]+interest+dividends+short_term_capital_gains+long_term_capital_gains-(charitable_donations+mortgage_interest)</f>
        <v>71500</v>
      </c>
      <c r="U180" s="9">
        <f>MAX(amt_exemption-amt_exemption_phase_out_rate*MAX(Table1[[#This Row],[taxable wages]]-amt_phase_out_begins,0),0)</f>
        <v>83800</v>
      </c>
      <c r="V1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0" s="1">
        <f>IF(AND(Table1[[#This Row],[AMT Taxes]]&gt;Table1[[#This Row],[Regular Taxes Owed]],Table1[[#This Row],[AMT Taxes]]&gt;0),Table1[[#This Row],[AMT Taxes]]-Table1[[#This Row],[Regular Taxes Owed]],0)</f>
        <v>0</v>
      </c>
      <c r="X180" s="9">
        <f>Table1[[#This Row],[Extra Taxes From Amt]]+Table1[[#This Row],[Federal Taxes Owed (No AMT)]]</f>
        <v>-1345</v>
      </c>
      <c r="Y180" s="9">
        <f>IF(Table1[[#This Row],[taxable wages]]&gt;obamacare_surcharge_amount,obamacare_surcharge_percent*(Table1[[#This Row],[taxable wages]]-obamacare_surcharge_amount),0)</f>
        <v>0</v>
      </c>
      <c r="Z180" s="9">
        <f>Table1[[#This Row],[Federal Taxes Owed (Includes AMT)]]+Table1[[#This Row],[Obamacare surcharge premium]]</f>
        <v>-1345</v>
      </c>
      <c r="AA180" s="9">
        <f>Table1[[#This Row],[taxable wages]]-Table1[[#This Row],[Federal Taxes Owed2]]</f>
        <v>72845</v>
      </c>
      <c r="AB180" s="51">
        <f t="shared" si="21"/>
        <v>0.15</v>
      </c>
      <c r="AC180" s="41"/>
      <c r="AD180" s="13"/>
      <c r="AE180" s="13"/>
    </row>
    <row r="181" spans="2:31" x14ac:dyDescent="0.3">
      <c r="B181" s="41">
        <f t="shared" si="22"/>
        <v>72000</v>
      </c>
      <c r="C181" s="1">
        <f>Table1[[#This Row],[taxable wages]]</f>
        <v>72000</v>
      </c>
      <c r="D181" s="1">
        <f>Table1[[#This Row],[taxable wages]]+interest+dividends+short_term_capital_gains+long_term_capital_gains</f>
        <v>72000</v>
      </c>
      <c r="E181" s="1">
        <f>MAX(Table1[[#This Row],[earned income for EITC]:[Agi For Eitc Calc]])</f>
        <v>72000</v>
      </c>
      <c r="F181" s="1">
        <f>Table1[[#This Row],[taxable wages]]+interest+dividends+short_term_capital_gains+long_term_capital_gains-(trad_ira_contributions+MIN(student_loan_interest_cap,student_loan_interest))</f>
        <v>72000</v>
      </c>
      <c r="G181" s="1">
        <f t="shared" si="18"/>
        <v>12600</v>
      </c>
      <c r="H181" s="1">
        <f t="shared" si="19"/>
        <v>28350</v>
      </c>
      <c r="I181" s="1">
        <f>MAX(0,Table1[[#This Row],[Agi]]-Table1[[#This Row],[Exemptions]]-Table1[[#This Row],[Effective Deductions]])</f>
        <v>31050</v>
      </c>
      <c r="J1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3730</v>
      </c>
      <c r="K181" s="1">
        <f t="shared" si="20"/>
        <v>5000</v>
      </c>
      <c r="L181" s="1">
        <f>IF(Table1[[#This Row],[Agi]]&gt;ctc_phase_out_begins,ctc_phase_out_rate*(Table1[[#This Row],[Agi]]-ctc_phase_out_begins),0)</f>
        <v>0</v>
      </c>
      <c r="M181" s="1">
        <f>MAX(Table1[[#This Row],[Child Tax Credit]]-Table1[[#This Row],[Child Tax Credit Phase Out]],0)</f>
        <v>5000</v>
      </c>
      <c r="N181" s="1">
        <f>MAX(Table1[[#This Row],[Regular Taxes Owed]]-Table1[[#This Row],[Effective Child Tax Credit]],0)</f>
        <v>0</v>
      </c>
      <c r="O181" s="1">
        <f>MAX(MIN((Table1[[#This Row],[taxable wages]]-3000)*0.15,1000*num_kids_16_younger),0)</f>
        <v>5000</v>
      </c>
      <c r="P181" s="9">
        <f>IF(Table1[[#This Row],[Effective Child Tax Credit]]&gt;Table1[[#This Row],[Regular Taxes Owed]],Table1[[#This Row],[Additional Child Tax Credit ]]-Table1[[#This Row],[Regular Taxes Owed]],0)</f>
        <v>1270</v>
      </c>
      <c r="Q1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1" s="1">
        <f>Table1[[#This Row],[Effective Additional Child Tax Credit]]+Table1[[#This Row],[Eitc]]</f>
        <v>1270</v>
      </c>
      <c r="S181" s="9">
        <f>Table1[[#This Row],[Regular Taxes Owed - Effective Child Tax Credit]]-Table1[[#This Row],[Total Credits]]</f>
        <v>-1270</v>
      </c>
      <c r="T181" s="9">
        <f>Table1[[#This Row],[taxable wages]]+interest+dividends+short_term_capital_gains+long_term_capital_gains-(charitable_donations+mortgage_interest)</f>
        <v>72000</v>
      </c>
      <c r="U181" s="9">
        <f>MAX(amt_exemption-amt_exemption_phase_out_rate*MAX(Table1[[#This Row],[taxable wages]]-amt_phase_out_begins,0),0)</f>
        <v>83800</v>
      </c>
      <c r="V1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1" s="1">
        <f>IF(AND(Table1[[#This Row],[AMT Taxes]]&gt;Table1[[#This Row],[Regular Taxes Owed]],Table1[[#This Row],[AMT Taxes]]&gt;0),Table1[[#This Row],[AMT Taxes]]-Table1[[#This Row],[Regular Taxes Owed]],0)</f>
        <v>0</v>
      </c>
      <c r="X181" s="9">
        <f>Table1[[#This Row],[Extra Taxes From Amt]]+Table1[[#This Row],[Federal Taxes Owed (No AMT)]]</f>
        <v>-1270</v>
      </c>
      <c r="Y181" s="9">
        <f>IF(Table1[[#This Row],[taxable wages]]&gt;obamacare_surcharge_amount,obamacare_surcharge_percent*(Table1[[#This Row],[taxable wages]]-obamacare_surcharge_amount),0)</f>
        <v>0</v>
      </c>
      <c r="Z181" s="9">
        <f>Table1[[#This Row],[Federal Taxes Owed (Includes AMT)]]+Table1[[#This Row],[Obamacare surcharge premium]]</f>
        <v>-1270</v>
      </c>
      <c r="AA181" s="9">
        <f>Table1[[#This Row],[taxable wages]]-Table1[[#This Row],[Federal Taxes Owed2]]</f>
        <v>73270</v>
      </c>
      <c r="AB181" s="51">
        <f t="shared" si="21"/>
        <v>0.15</v>
      </c>
      <c r="AC181" s="41"/>
      <c r="AD181" s="13"/>
      <c r="AE181" s="13"/>
    </row>
    <row r="182" spans="2:31" x14ac:dyDescent="0.3">
      <c r="B182" s="41">
        <f t="shared" si="22"/>
        <v>72500</v>
      </c>
      <c r="C182" s="1">
        <f>Table1[[#This Row],[taxable wages]]</f>
        <v>72500</v>
      </c>
      <c r="D182" s="1">
        <f>Table1[[#This Row],[taxable wages]]+interest+dividends+short_term_capital_gains+long_term_capital_gains</f>
        <v>72500</v>
      </c>
      <c r="E182" s="1">
        <f>MAX(Table1[[#This Row],[earned income for EITC]:[Agi For Eitc Calc]])</f>
        <v>72500</v>
      </c>
      <c r="F182" s="1">
        <f>Table1[[#This Row],[taxable wages]]+interest+dividends+short_term_capital_gains+long_term_capital_gains-(trad_ira_contributions+MIN(student_loan_interest_cap,student_loan_interest))</f>
        <v>72500</v>
      </c>
      <c r="G182" s="1">
        <f t="shared" si="18"/>
        <v>12600</v>
      </c>
      <c r="H182" s="1">
        <f t="shared" si="19"/>
        <v>28350</v>
      </c>
      <c r="I182" s="1">
        <f>MAX(0,Table1[[#This Row],[Agi]]-Table1[[#This Row],[Exemptions]]-Table1[[#This Row],[Effective Deductions]])</f>
        <v>31550</v>
      </c>
      <c r="J1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3805</v>
      </c>
      <c r="K182" s="1">
        <f t="shared" si="20"/>
        <v>5000</v>
      </c>
      <c r="L182" s="1">
        <f>IF(Table1[[#This Row],[Agi]]&gt;ctc_phase_out_begins,ctc_phase_out_rate*(Table1[[#This Row],[Agi]]-ctc_phase_out_begins),0)</f>
        <v>0</v>
      </c>
      <c r="M182" s="1">
        <f>MAX(Table1[[#This Row],[Child Tax Credit]]-Table1[[#This Row],[Child Tax Credit Phase Out]],0)</f>
        <v>5000</v>
      </c>
      <c r="N182" s="1">
        <f>MAX(Table1[[#This Row],[Regular Taxes Owed]]-Table1[[#This Row],[Effective Child Tax Credit]],0)</f>
        <v>0</v>
      </c>
      <c r="O182" s="1">
        <f>MAX(MIN((Table1[[#This Row],[taxable wages]]-3000)*0.15,1000*num_kids_16_younger),0)</f>
        <v>5000</v>
      </c>
      <c r="P182" s="9">
        <f>IF(Table1[[#This Row],[Effective Child Tax Credit]]&gt;Table1[[#This Row],[Regular Taxes Owed]],Table1[[#This Row],[Additional Child Tax Credit ]]-Table1[[#This Row],[Regular Taxes Owed]],0)</f>
        <v>1195</v>
      </c>
      <c r="Q1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2" s="1">
        <f>Table1[[#This Row],[Effective Additional Child Tax Credit]]+Table1[[#This Row],[Eitc]]</f>
        <v>1195</v>
      </c>
      <c r="S182" s="9">
        <f>Table1[[#This Row],[Regular Taxes Owed - Effective Child Tax Credit]]-Table1[[#This Row],[Total Credits]]</f>
        <v>-1195</v>
      </c>
      <c r="T182" s="9">
        <f>Table1[[#This Row],[taxable wages]]+interest+dividends+short_term_capital_gains+long_term_capital_gains-(charitable_donations+mortgage_interest)</f>
        <v>72500</v>
      </c>
      <c r="U182" s="9">
        <f>MAX(amt_exemption-amt_exemption_phase_out_rate*MAX(Table1[[#This Row],[taxable wages]]-amt_phase_out_begins,0),0)</f>
        <v>83800</v>
      </c>
      <c r="V1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2" s="1">
        <f>IF(AND(Table1[[#This Row],[AMT Taxes]]&gt;Table1[[#This Row],[Regular Taxes Owed]],Table1[[#This Row],[AMT Taxes]]&gt;0),Table1[[#This Row],[AMT Taxes]]-Table1[[#This Row],[Regular Taxes Owed]],0)</f>
        <v>0</v>
      </c>
      <c r="X182" s="9">
        <f>Table1[[#This Row],[Extra Taxes From Amt]]+Table1[[#This Row],[Federal Taxes Owed (No AMT)]]</f>
        <v>-1195</v>
      </c>
      <c r="Y182" s="9">
        <f>IF(Table1[[#This Row],[taxable wages]]&gt;obamacare_surcharge_amount,obamacare_surcharge_percent*(Table1[[#This Row],[taxable wages]]-obamacare_surcharge_amount),0)</f>
        <v>0</v>
      </c>
      <c r="Z182" s="9">
        <f>Table1[[#This Row],[Federal Taxes Owed (Includes AMT)]]+Table1[[#This Row],[Obamacare surcharge premium]]</f>
        <v>-1195</v>
      </c>
      <c r="AA182" s="9">
        <f>Table1[[#This Row],[taxable wages]]-Table1[[#This Row],[Federal Taxes Owed2]]</f>
        <v>73695</v>
      </c>
      <c r="AB182" s="51">
        <f t="shared" si="21"/>
        <v>0.15</v>
      </c>
      <c r="AC182" s="41"/>
      <c r="AD182" s="13"/>
      <c r="AE182" s="13"/>
    </row>
    <row r="183" spans="2:31" x14ac:dyDescent="0.3">
      <c r="B183" s="41">
        <f t="shared" si="22"/>
        <v>73000</v>
      </c>
      <c r="C183" s="1">
        <f>Table1[[#This Row],[taxable wages]]</f>
        <v>73000</v>
      </c>
      <c r="D183" s="1">
        <f>Table1[[#This Row],[taxable wages]]+interest+dividends+short_term_capital_gains+long_term_capital_gains</f>
        <v>73000</v>
      </c>
      <c r="E183" s="1">
        <f>MAX(Table1[[#This Row],[earned income for EITC]:[Agi For Eitc Calc]])</f>
        <v>73000</v>
      </c>
      <c r="F183" s="1">
        <f>Table1[[#This Row],[taxable wages]]+interest+dividends+short_term_capital_gains+long_term_capital_gains-(trad_ira_contributions+MIN(student_loan_interest_cap,student_loan_interest))</f>
        <v>73000</v>
      </c>
      <c r="G183" s="1">
        <f t="shared" si="18"/>
        <v>12600</v>
      </c>
      <c r="H183" s="1">
        <f t="shared" si="19"/>
        <v>28350</v>
      </c>
      <c r="I183" s="1">
        <f>MAX(0,Table1[[#This Row],[Agi]]-Table1[[#This Row],[Exemptions]]-Table1[[#This Row],[Effective Deductions]])</f>
        <v>32050</v>
      </c>
      <c r="J1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3880</v>
      </c>
      <c r="K183" s="1">
        <f t="shared" si="20"/>
        <v>5000</v>
      </c>
      <c r="L183" s="1">
        <f>IF(Table1[[#This Row],[Agi]]&gt;ctc_phase_out_begins,ctc_phase_out_rate*(Table1[[#This Row],[Agi]]-ctc_phase_out_begins),0)</f>
        <v>0</v>
      </c>
      <c r="M183" s="1">
        <f>MAX(Table1[[#This Row],[Child Tax Credit]]-Table1[[#This Row],[Child Tax Credit Phase Out]],0)</f>
        <v>5000</v>
      </c>
      <c r="N183" s="1">
        <f>MAX(Table1[[#This Row],[Regular Taxes Owed]]-Table1[[#This Row],[Effective Child Tax Credit]],0)</f>
        <v>0</v>
      </c>
      <c r="O183" s="1">
        <f>MAX(MIN((Table1[[#This Row],[taxable wages]]-3000)*0.15,1000*num_kids_16_younger),0)</f>
        <v>5000</v>
      </c>
      <c r="P183" s="9">
        <f>IF(Table1[[#This Row],[Effective Child Tax Credit]]&gt;Table1[[#This Row],[Regular Taxes Owed]],Table1[[#This Row],[Additional Child Tax Credit ]]-Table1[[#This Row],[Regular Taxes Owed]],0)</f>
        <v>1120</v>
      </c>
      <c r="Q1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3" s="1">
        <f>Table1[[#This Row],[Effective Additional Child Tax Credit]]+Table1[[#This Row],[Eitc]]</f>
        <v>1120</v>
      </c>
      <c r="S183" s="9">
        <f>Table1[[#This Row],[Regular Taxes Owed - Effective Child Tax Credit]]-Table1[[#This Row],[Total Credits]]</f>
        <v>-1120</v>
      </c>
      <c r="T183" s="9">
        <f>Table1[[#This Row],[taxable wages]]+interest+dividends+short_term_capital_gains+long_term_capital_gains-(charitable_donations+mortgage_interest)</f>
        <v>73000</v>
      </c>
      <c r="U183" s="9">
        <f>MAX(amt_exemption-amt_exemption_phase_out_rate*MAX(Table1[[#This Row],[taxable wages]]-amt_phase_out_begins,0),0)</f>
        <v>83800</v>
      </c>
      <c r="V1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3" s="1">
        <f>IF(AND(Table1[[#This Row],[AMT Taxes]]&gt;Table1[[#This Row],[Regular Taxes Owed]],Table1[[#This Row],[AMT Taxes]]&gt;0),Table1[[#This Row],[AMT Taxes]]-Table1[[#This Row],[Regular Taxes Owed]],0)</f>
        <v>0</v>
      </c>
      <c r="X183" s="9">
        <f>Table1[[#This Row],[Extra Taxes From Amt]]+Table1[[#This Row],[Federal Taxes Owed (No AMT)]]</f>
        <v>-1120</v>
      </c>
      <c r="Y183" s="9">
        <f>IF(Table1[[#This Row],[taxable wages]]&gt;obamacare_surcharge_amount,obamacare_surcharge_percent*(Table1[[#This Row],[taxable wages]]-obamacare_surcharge_amount),0)</f>
        <v>0</v>
      </c>
      <c r="Z183" s="9">
        <f>Table1[[#This Row],[Federal Taxes Owed (Includes AMT)]]+Table1[[#This Row],[Obamacare surcharge premium]]</f>
        <v>-1120</v>
      </c>
      <c r="AA183" s="9">
        <f>Table1[[#This Row],[taxable wages]]-Table1[[#This Row],[Federal Taxes Owed2]]</f>
        <v>74120</v>
      </c>
      <c r="AB183" s="51">
        <f t="shared" si="21"/>
        <v>0.15</v>
      </c>
      <c r="AC183" s="41"/>
      <c r="AD183" s="13"/>
      <c r="AE183" s="13"/>
    </row>
    <row r="184" spans="2:31" x14ac:dyDescent="0.3">
      <c r="B184" s="41">
        <f t="shared" si="22"/>
        <v>73500</v>
      </c>
      <c r="C184" s="1">
        <f>Table1[[#This Row],[taxable wages]]</f>
        <v>73500</v>
      </c>
      <c r="D184" s="1">
        <f>Table1[[#This Row],[taxable wages]]+interest+dividends+short_term_capital_gains+long_term_capital_gains</f>
        <v>73500</v>
      </c>
      <c r="E184" s="1">
        <f>MAX(Table1[[#This Row],[earned income for EITC]:[Agi For Eitc Calc]])</f>
        <v>73500</v>
      </c>
      <c r="F184" s="1">
        <f>Table1[[#This Row],[taxable wages]]+interest+dividends+short_term_capital_gains+long_term_capital_gains-(trad_ira_contributions+MIN(student_loan_interest_cap,student_loan_interest))</f>
        <v>73500</v>
      </c>
      <c r="G184" s="1">
        <f t="shared" si="18"/>
        <v>12600</v>
      </c>
      <c r="H184" s="1">
        <f t="shared" si="19"/>
        <v>28350</v>
      </c>
      <c r="I184" s="1">
        <f>MAX(0,Table1[[#This Row],[Agi]]-Table1[[#This Row],[Exemptions]]-Table1[[#This Row],[Effective Deductions]])</f>
        <v>32550</v>
      </c>
      <c r="J1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3955</v>
      </c>
      <c r="K184" s="1">
        <f t="shared" si="20"/>
        <v>5000</v>
      </c>
      <c r="L184" s="1">
        <f>IF(Table1[[#This Row],[Agi]]&gt;ctc_phase_out_begins,ctc_phase_out_rate*(Table1[[#This Row],[Agi]]-ctc_phase_out_begins),0)</f>
        <v>0</v>
      </c>
      <c r="M184" s="1">
        <f>MAX(Table1[[#This Row],[Child Tax Credit]]-Table1[[#This Row],[Child Tax Credit Phase Out]],0)</f>
        <v>5000</v>
      </c>
      <c r="N184" s="1">
        <f>MAX(Table1[[#This Row],[Regular Taxes Owed]]-Table1[[#This Row],[Effective Child Tax Credit]],0)</f>
        <v>0</v>
      </c>
      <c r="O184" s="1">
        <f>MAX(MIN((Table1[[#This Row],[taxable wages]]-3000)*0.15,1000*num_kids_16_younger),0)</f>
        <v>5000</v>
      </c>
      <c r="P184" s="9">
        <f>IF(Table1[[#This Row],[Effective Child Tax Credit]]&gt;Table1[[#This Row],[Regular Taxes Owed]],Table1[[#This Row],[Additional Child Tax Credit ]]-Table1[[#This Row],[Regular Taxes Owed]],0)</f>
        <v>1045</v>
      </c>
      <c r="Q1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4" s="1">
        <f>Table1[[#This Row],[Effective Additional Child Tax Credit]]+Table1[[#This Row],[Eitc]]</f>
        <v>1045</v>
      </c>
      <c r="S184" s="9">
        <f>Table1[[#This Row],[Regular Taxes Owed - Effective Child Tax Credit]]-Table1[[#This Row],[Total Credits]]</f>
        <v>-1045</v>
      </c>
      <c r="T184" s="9">
        <f>Table1[[#This Row],[taxable wages]]+interest+dividends+short_term_capital_gains+long_term_capital_gains-(charitable_donations+mortgage_interest)</f>
        <v>73500</v>
      </c>
      <c r="U184" s="9">
        <f>MAX(amt_exemption-amt_exemption_phase_out_rate*MAX(Table1[[#This Row],[taxable wages]]-amt_phase_out_begins,0),0)</f>
        <v>83800</v>
      </c>
      <c r="V1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4" s="1">
        <f>IF(AND(Table1[[#This Row],[AMT Taxes]]&gt;Table1[[#This Row],[Regular Taxes Owed]],Table1[[#This Row],[AMT Taxes]]&gt;0),Table1[[#This Row],[AMT Taxes]]-Table1[[#This Row],[Regular Taxes Owed]],0)</f>
        <v>0</v>
      </c>
      <c r="X184" s="9">
        <f>Table1[[#This Row],[Extra Taxes From Amt]]+Table1[[#This Row],[Federal Taxes Owed (No AMT)]]</f>
        <v>-1045</v>
      </c>
      <c r="Y184" s="9">
        <f>IF(Table1[[#This Row],[taxable wages]]&gt;obamacare_surcharge_amount,obamacare_surcharge_percent*(Table1[[#This Row],[taxable wages]]-obamacare_surcharge_amount),0)</f>
        <v>0</v>
      </c>
      <c r="Z184" s="9">
        <f>Table1[[#This Row],[Federal Taxes Owed (Includes AMT)]]+Table1[[#This Row],[Obamacare surcharge premium]]</f>
        <v>-1045</v>
      </c>
      <c r="AA184" s="9">
        <f>Table1[[#This Row],[taxable wages]]-Table1[[#This Row],[Federal Taxes Owed2]]</f>
        <v>74545</v>
      </c>
      <c r="AB184" s="51">
        <f t="shared" si="21"/>
        <v>0.15</v>
      </c>
      <c r="AC184" s="41"/>
      <c r="AD184" s="13"/>
      <c r="AE184" s="13"/>
    </row>
    <row r="185" spans="2:31" x14ac:dyDescent="0.3">
      <c r="B185" s="41">
        <f t="shared" si="22"/>
        <v>74000</v>
      </c>
      <c r="C185" s="1">
        <f>Table1[[#This Row],[taxable wages]]</f>
        <v>74000</v>
      </c>
      <c r="D185" s="1">
        <f>Table1[[#This Row],[taxable wages]]+interest+dividends+short_term_capital_gains+long_term_capital_gains</f>
        <v>74000</v>
      </c>
      <c r="E185" s="1">
        <f>MAX(Table1[[#This Row],[earned income for EITC]:[Agi For Eitc Calc]])</f>
        <v>74000</v>
      </c>
      <c r="F185" s="1">
        <f>Table1[[#This Row],[taxable wages]]+interest+dividends+short_term_capital_gains+long_term_capital_gains-(trad_ira_contributions+MIN(student_loan_interest_cap,student_loan_interest))</f>
        <v>74000</v>
      </c>
      <c r="G185" s="1">
        <f t="shared" si="18"/>
        <v>12600</v>
      </c>
      <c r="H185" s="1">
        <f t="shared" si="19"/>
        <v>28350</v>
      </c>
      <c r="I185" s="1">
        <f>MAX(0,Table1[[#This Row],[Agi]]-Table1[[#This Row],[Exemptions]]-Table1[[#This Row],[Effective Deductions]])</f>
        <v>33050</v>
      </c>
      <c r="J1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4030</v>
      </c>
      <c r="K185" s="1">
        <f t="shared" si="20"/>
        <v>5000</v>
      </c>
      <c r="L185" s="1">
        <f>IF(Table1[[#This Row],[Agi]]&gt;ctc_phase_out_begins,ctc_phase_out_rate*(Table1[[#This Row],[Agi]]-ctc_phase_out_begins),0)</f>
        <v>0</v>
      </c>
      <c r="M185" s="1">
        <f>MAX(Table1[[#This Row],[Child Tax Credit]]-Table1[[#This Row],[Child Tax Credit Phase Out]],0)</f>
        <v>5000</v>
      </c>
      <c r="N185" s="1">
        <f>MAX(Table1[[#This Row],[Regular Taxes Owed]]-Table1[[#This Row],[Effective Child Tax Credit]],0)</f>
        <v>0</v>
      </c>
      <c r="O185" s="1">
        <f>MAX(MIN((Table1[[#This Row],[taxable wages]]-3000)*0.15,1000*num_kids_16_younger),0)</f>
        <v>5000</v>
      </c>
      <c r="P185" s="9">
        <f>IF(Table1[[#This Row],[Effective Child Tax Credit]]&gt;Table1[[#This Row],[Regular Taxes Owed]],Table1[[#This Row],[Additional Child Tax Credit ]]-Table1[[#This Row],[Regular Taxes Owed]],0)</f>
        <v>970</v>
      </c>
      <c r="Q1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5" s="1">
        <f>Table1[[#This Row],[Effective Additional Child Tax Credit]]+Table1[[#This Row],[Eitc]]</f>
        <v>970</v>
      </c>
      <c r="S185" s="9">
        <f>Table1[[#This Row],[Regular Taxes Owed - Effective Child Tax Credit]]-Table1[[#This Row],[Total Credits]]</f>
        <v>-970</v>
      </c>
      <c r="T185" s="9">
        <f>Table1[[#This Row],[taxable wages]]+interest+dividends+short_term_capital_gains+long_term_capital_gains-(charitable_donations+mortgage_interest)</f>
        <v>74000</v>
      </c>
      <c r="U185" s="9">
        <f>MAX(amt_exemption-amt_exemption_phase_out_rate*MAX(Table1[[#This Row],[taxable wages]]-amt_phase_out_begins,0),0)</f>
        <v>83800</v>
      </c>
      <c r="V1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5" s="1">
        <f>IF(AND(Table1[[#This Row],[AMT Taxes]]&gt;Table1[[#This Row],[Regular Taxes Owed]],Table1[[#This Row],[AMT Taxes]]&gt;0),Table1[[#This Row],[AMT Taxes]]-Table1[[#This Row],[Regular Taxes Owed]],0)</f>
        <v>0</v>
      </c>
      <c r="X185" s="9">
        <f>Table1[[#This Row],[Extra Taxes From Amt]]+Table1[[#This Row],[Federal Taxes Owed (No AMT)]]</f>
        <v>-970</v>
      </c>
      <c r="Y185" s="9">
        <f>IF(Table1[[#This Row],[taxable wages]]&gt;obamacare_surcharge_amount,obamacare_surcharge_percent*(Table1[[#This Row],[taxable wages]]-obamacare_surcharge_amount),0)</f>
        <v>0</v>
      </c>
      <c r="Z185" s="9">
        <f>Table1[[#This Row],[Federal Taxes Owed (Includes AMT)]]+Table1[[#This Row],[Obamacare surcharge premium]]</f>
        <v>-970</v>
      </c>
      <c r="AA185" s="9">
        <f>Table1[[#This Row],[taxable wages]]-Table1[[#This Row],[Federal Taxes Owed2]]</f>
        <v>74970</v>
      </c>
      <c r="AB185" s="51">
        <f t="shared" si="21"/>
        <v>0.15</v>
      </c>
      <c r="AC185" s="41"/>
      <c r="AD185" s="13"/>
      <c r="AE185" s="13"/>
    </row>
    <row r="186" spans="2:31" x14ac:dyDescent="0.3">
      <c r="B186" s="41">
        <f t="shared" si="22"/>
        <v>74500</v>
      </c>
      <c r="C186" s="1">
        <f>Table1[[#This Row],[taxable wages]]</f>
        <v>74500</v>
      </c>
      <c r="D186" s="1">
        <f>Table1[[#This Row],[taxable wages]]+interest+dividends+short_term_capital_gains+long_term_capital_gains</f>
        <v>74500</v>
      </c>
      <c r="E186" s="1">
        <f>MAX(Table1[[#This Row],[earned income for EITC]:[Agi For Eitc Calc]])</f>
        <v>74500</v>
      </c>
      <c r="F186" s="1">
        <f>Table1[[#This Row],[taxable wages]]+interest+dividends+short_term_capital_gains+long_term_capital_gains-(trad_ira_contributions+MIN(student_loan_interest_cap,student_loan_interest))</f>
        <v>74500</v>
      </c>
      <c r="G186" s="1">
        <f t="shared" si="18"/>
        <v>12600</v>
      </c>
      <c r="H186" s="1">
        <f t="shared" si="19"/>
        <v>28350</v>
      </c>
      <c r="I186" s="1">
        <f>MAX(0,Table1[[#This Row],[Agi]]-Table1[[#This Row],[Exemptions]]-Table1[[#This Row],[Effective Deductions]])</f>
        <v>33550</v>
      </c>
      <c r="J1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4105</v>
      </c>
      <c r="K186" s="1">
        <f t="shared" si="20"/>
        <v>5000</v>
      </c>
      <c r="L186" s="1">
        <f>IF(Table1[[#This Row],[Agi]]&gt;ctc_phase_out_begins,ctc_phase_out_rate*(Table1[[#This Row],[Agi]]-ctc_phase_out_begins),0)</f>
        <v>0</v>
      </c>
      <c r="M186" s="1">
        <f>MAX(Table1[[#This Row],[Child Tax Credit]]-Table1[[#This Row],[Child Tax Credit Phase Out]],0)</f>
        <v>5000</v>
      </c>
      <c r="N186" s="1">
        <f>MAX(Table1[[#This Row],[Regular Taxes Owed]]-Table1[[#This Row],[Effective Child Tax Credit]],0)</f>
        <v>0</v>
      </c>
      <c r="O186" s="1">
        <f>MAX(MIN((Table1[[#This Row],[taxable wages]]-3000)*0.15,1000*num_kids_16_younger),0)</f>
        <v>5000</v>
      </c>
      <c r="P186" s="9">
        <f>IF(Table1[[#This Row],[Effective Child Tax Credit]]&gt;Table1[[#This Row],[Regular Taxes Owed]],Table1[[#This Row],[Additional Child Tax Credit ]]-Table1[[#This Row],[Regular Taxes Owed]],0)</f>
        <v>895</v>
      </c>
      <c r="Q1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6" s="1">
        <f>Table1[[#This Row],[Effective Additional Child Tax Credit]]+Table1[[#This Row],[Eitc]]</f>
        <v>895</v>
      </c>
      <c r="S186" s="9">
        <f>Table1[[#This Row],[Regular Taxes Owed - Effective Child Tax Credit]]-Table1[[#This Row],[Total Credits]]</f>
        <v>-895</v>
      </c>
      <c r="T186" s="9">
        <f>Table1[[#This Row],[taxable wages]]+interest+dividends+short_term_capital_gains+long_term_capital_gains-(charitable_donations+mortgage_interest)</f>
        <v>74500</v>
      </c>
      <c r="U186" s="9">
        <f>MAX(amt_exemption-amt_exemption_phase_out_rate*MAX(Table1[[#This Row],[taxable wages]]-amt_phase_out_begins,0),0)</f>
        <v>83800</v>
      </c>
      <c r="V1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6" s="1">
        <f>IF(AND(Table1[[#This Row],[AMT Taxes]]&gt;Table1[[#This Row],[Regular Taxes Owed]],Table1[[#This Row],[AMT Taxes]]&gt;0),Table1[[#This Row],[AMT Taxes]]-Table1[[#This Row],[Regular Taxes Owed]],0)</f>
        <v>0</v>
      </c>
      <c r="X186" s="9">
        <f>Table1[[#This Row],[Extra Taxes From Amt]]+Table1[[#This Row],[Federal Taxes Owed (No AMT)]]</f>
        <v>-895</v>
      </c>
      <c r="Y186" s="9">
        <f>IF(Table1[[#This Row],[taxable wages]]&gt;obamacare_surcharge_amount,obamacare_surcharge_percent*(Table1[[#This Row],[taxable wages]]-obamacare_surcharge_amount),0)</f>
        <v>0</v>
      </c>
      <c r="Z186" s="9">
        <f>Table1[[#This Row],[Federal Taxes Owed (Includes AMT)]]+Table1[[#This Row],[Obamacare surcharge premium]]</f>
        <v>-895</v>
      </c>
      <c r="AA186" s="9">
        <f>Table1[[#This Row],[taxable wages]]-Table1[[#This Row],[Federal Taxes Owed2]]</f>
        <v>75395</v>
      </c>
      <c r="AB186" s="51">
        <f t="shared" si="21"/>
        <v>0.15</v>
      </c>
      <c r="AC186" s="41"/>
      <c r="AD186" s="13"/>
      <c r="AE186" s="13"/>
    </row>
    <row r="187" spans="2:31" x14ac:dyDescent="0.3">
      <c r="B187" s="41">
        <f t="shared" si="22"/>
        <v>75000</v>
      </c>
      <c r="C187" s="1">
        <f>Table1[[#This Row],[taxable wages]]</f>
        <v>75000</v>
      </c>
      <c r="D187" s="1">
        <f>Table1[[#This Row],[taxable wages]]+interest+dividends+short_term_capital_gains+long_term_capital_gains</f>
        <v>75000</v>
      </c>
      <c r="E187" s="1">
        <f>MAX(Table1[[#This Row],[earned income for EITC]:[Agi For Eitc Calc]])</f>
        <v>75000</v>
      </c>
      <c r="F187" s="1">
        <f>Table1[[#This Row],[taxable wages]]+interest+dividends+short_term_capital_gains+long_term_capital_gains-(trad_ira_contributions+MIN(student_loan_interest_cap,student_loan_interest))</f>
        <v>75000</v>
      </c>
      <c r="G187" s="1">
        <f t="shared" si="18"/>
        <v>12600</v>
      </c>
      <c r="H187" s="1">
        <f t="shared" si="19"/>
        <v>28350</v>
      </c>
      <c r="I187" s="1">
        <f>MAX(0,Table1[[#This Row],[Agi]]-Table1[[#This Row],[Exemptions]]-Table1[[#This Row],[Effective Deductions]])</f>
        <v>34050</v>
      </c>
      <c r="J1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4180</v>
      </c>
      <c r="K187" s="1">
        <f t="shared" si="20"/>
        <v>5000</v>
      </c>
      <c r="L187" s="1">
        <f>IF(Table1[[#This Row],[Agi]]&gt;ctc_phase_out_begins,ctc_phase_out_rate*(Table1[[#This Row],[Agi]]-ctc_phase_out_begins),0)</f>
        <v>0</v>
      </c>
      <c r="M187" s="1">
        <f>MAX(Table1[[#This Row],[Child Tax Credit]]-Table1[[#This Row],[Child Tax Credit Phase Out]],0)</f>
        <v>5000</v>
      </c>
      <c r="N187" s="1">
        <f>MAX(Table1[[#This Row],[Regular Taxes Owed]]-Table1[[#This Row],[Effective Child Tax Credit]],0)</f>
        <v>0</v>
      </c>
      <c r="O187" s="1">
        <f>MAX(MIN((Table1[[#This Row],[taxable wages]]-3000)*0.15,1000*num_kids_16_younger),0)</f>
        <v>5000</v>
      </c>
      <c r="P187" s="9">
        <f>IF(Table1[[#This Row],[Effective Child Tax Credit]]&gt;Table1[[#This Row],[Regular Taxes Owed]],Table1[[#This Row],[Additional Child Tax Credit ]]-Table1[[#This Row],[Regular Taxes Owed]],0)</f>
        <v>820</v>
      </c>
      <c r="Q1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7" s="1">
        <f>Table1[[#This Row],[Effective Additional Child Tax Credit]]+Table1[[#This Row],[Eitc]]</f>
        <v>820</v>
      </c>
      <c r="S187" s="9">
        <f>Table1[[#This Row],[Regular Taxes Owed - Effective Child Tax Credit]]-Table1[[#This Row],[Total Credits]]</f>
        <v>-820</v>
      </c>
      <c r="T187" s="9">
        <f>Table1[[#This Row],[taxable wages]]+interest+dividends+short_term_capital_gains+long_term_capital_gains-(charitable_donations+mortgage_interest)</f>
        <v>75000</v>
      </c>
      <c r="U187" s="9">
        <f>MAX(amt_exemption-amt_exemption_phase_out_rate*MAX(Table1[[#This Row],[taxable wages]]-amt_phase_out_begins,0),0)</f>
        <v>83800</v>
      </c>
      <c r="V1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7" s="1">
        <f>IF(AND(Table1[[#This Row],[AMT Taxes]]&gt;Table1[[#This Row],[Regular Taxes Owed]],Table1[[#This Row],[AMT Taxes]]&gt;0),Table1[[#This Row],[AMT Taxes]]-Table1[[#This Row],[Regular Taxes Owed]],0)</f>
        <v>0</v>
      </c>
      <c r="X187" s="9">
        <f>Table1[[#This Row],[Extra Taxes From Amt]]+Table1[[#This Row],[Federal Taxes Owed (No AMT)]]</f>
        <v>-820</v>
      </c>
      <c r="Y187" s="9">
        <f>IF(Table1[[#This Row],[taxable wages]]&gt;obamacare_surcharge_amount,obamacare_surcharge_percent*(Table1[[#This Row],[taxable wages]]-obamacare_surcharge_amount),0)</f>
        <v>0</v>
      </c>
      <c r="Z187" s="9">
        <f>Table1[[#This Row],[Federal Taxes Owed (Includes AMT)]]+Table1[[#This Row],[Obamacare surcharge premium]]</f>
        <v>-820</v>
      </c>
      <c r="AA187" s="9">
        <f>Table1[[#This Row],[taxable wages]]-Table1[[#This Row],[Federal Taxes Owed2]]</f>
        <v>75820</v>
      </c>
      <c r="AB187" s="51">
        <f t="shared" si="21"/>
        <v>0.15</v>
      </c>
      <c r="AC187" s="41"/>
      <c r="AD187" s="13"/>
      <c r="AE187" s="13"/>
    </row>
    <row r="188" spans="2:31" x14ac:dyDescent="0.3">
      <c r="B188" s="41">
        <f t="shared" si="22"/>
        <v>75500</v>
      </c>
      <c r="C188" s="1">
        <f>Table1[[#This Row],[taxable wages]]</f>
        <v>75500</v>
      </c>
      <c r="D188" s="1">
        <f>Table1[[#This Row],[taxable wages]]+interest+dividends+short_term_capital_gains+long_term_capital_gains</f>
        <v>75500</v>
      </c>
      <c r="E188" s="1">
        <f>MAX(Table1[[#This Row],[earned income for EITC]:[Agi For Eitc Calc]])</f>
        <v>75500</v>
      </c>
      <c r="F188" s="1">
        <f>Table1[[#This Row],[taxable wages]]+interest+dividends+short_term_capital_gains+long_term_capital_gains-(trad_ira_contributions+MIN(student_loan_interest_cap,student_loan_interest))</f>
        <v>75500</v>
      </c>
      <c r="G188" s="1">
        <f t="shared" si="18"/>
        <v>12600</v>
      </c>
      <c r="H188" s="1">
        <f t="shared" si="19"/>
        <v>28350</v>
      </c>
      <c r="I188" s="1">
        <f>MAX(0,Table1[[#This Row],[Agi]]-Table1[[#This Row],[Exemptions]]-Table1[[#This Row],[Effective Deductions]])</f>
        <v>34550</v>
      </c>
      <c r="J1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4255</v>
      </c>
      <c r="K188" s="1">
        <f t="shared" si="20"/>
        <v>5000</v>
      </c>
      <c r="L188" s="1">
        <f>IF(Table1[[#This Row],[Agi]]&gt;ctc_phase_out_begins,ctc_phase_out_rate*(Table1[[#This Row],[Agi]]-ctc_phase_out_begins),0)</f>
        <v>0</v>
      </c>
      <c r="M188" s="1">
        <f>MAX(Table1[[#This Row],[Child Tax Credit]]-Table1[[#This Row],[Child Tax Credit Phase Out]],0)</f>
        <v>5000</v>
      </c>
      <c r="N188" s="1">
        <f>MAX(Table1[[#This Row],[Regular Taxes Owed]]-Table1[[#This Row],[Effective Child Tax Credit]],0)</f>
        <v>0</v>
      </c>
      <c r="O188" s="1">
        <f>MAX(MIN((Table1[[#This Row],[taxable wages]]-3000)*0.15,1000*num_kids_16_younger),0)</f>
        <v>5000</v>
      </c>
      <c r="P188" s="9">
        <f>IF(Table1[[#This Row],[Effective Child Tax Credit]]&gt;Table1[[#This Row],[Regular Taxes Owed]],Table1[[#This Row],[Additional Child Tax Credit ]]-Table1[[#This Row],[Regular Taxes Owed]],0)</f>
        <v>745</v>
      </c>
      <c r="Q1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8" s="1">
        <f>Table1[[#This Row],[Effective Additional Child Tax Credit]]+Table1[[#This Row],[Eitc]]</f>
        <v>745</v>
      </c>
      <c r="S188" s="9">
        <f>Table1[[#This Row],[Regular Taxes Owed - Effective Child Tax Credit]]-Table1[[#This Row],[Total Credits]]</f>
        <v>-745</v>
      </c>
      <c r="T188" s="9">
        <f>Table1[[#This Row],[taxable wages]]+interest+dividends+short_term_capital_gains+long_term_capital_gains-(charitable_donations+mortgage_interest)</f>
        <v>75500</v>
      </c>
      <c r="U188" s="9">
        <f>MAX(amt_exemption-amt_exemption_phase_out_rate*MAX(Table1[[#This Row],[taxable wages]]-amt_phase_out_begins,0),0)</f>
        <v>83800</v>
      </c>
      <c r="V1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8" s="1">
        <f>IF(AND(Table1[[#This Row],[AMT Taxes]]&gt;Table1[[#This Row],[Regular Taxes Owed]],Table1[[#This Row],[AMT Taxes]]&gt;0),Table1[[#This Row],[AMT Taxes]]-Table1[[#This Row],[Regular Taxes Owed]],0)</f>
        <v>0</v>
      </c>
      <c r="X188" s="9">
        <f>Table1[[#This Row],[Extra Taxes From Amt]]+Table1[[#This Row],[Federal Taxes Owed (No AMT)]]</f>
        <v>-745</v>
      </c>
      <c r="Y188" s="9">
        <f>IF(Table1[[#This Row],[taxable wages]]&gt;obamacare_surcharge_amount,obamacare_surcharge_percent*(Table1[[#This Row],[taxable wages]]-obamacare_surcharge_amount),0)</f>
        <v>0</v>
      </c>
      <c r="Z188" s="9">
        <f>Table1[[#This Row],[Federal Taxes Owed (Includes AMT)]]+Table1[[#This Row],[Obamacare surcharge premium]]</f>
        <v>-745</v>
      </c>
      <c r="AA188" s="9">
        <f>Table1[[#This Row],[taxable wages]]-Table1[[#This Row],[Federal Taxes Owed2]]</f>
        <v>76245</v>
      </c>
      <c r="AB188" s="51">
        <f t="shared" si="21"/>
        <v>0.15</v>
      </c>
      <c r="AC188" s="41"/>
      <c r="AD188" s="4"/>
      <c r="AE188" s="13"/>
    </row>
    <row r="189" spans="2:31" x14ac:dyDescent="0.3">
      <c r="B189" s="41">
        <f t="shared" si="22"/>
        <v>76000</v>
      </c>
      <c r="C189" s="1">
        <f>Table1[[#This Row],[taxable wages]]</f>
        <v>76000</v>
      </c>
      <c r="D189" s="1">
        <f>Table1[[#This Row],[taxable wages]]+interest+dividends+short_term_capital_gains+long_term_capital_gains</f>
        <v>76000</v>
      </c>
      <c r="E189" s="1">
        <f>MAX(Table1[[#This Row],[earned income for EITC]:[Agi For Eitc Calc]])</f>
        <v>76000</v>
      </c>
      <c r="F189" s="1">
        <f>Table1[[#This Row],[taxable wages]]+interest+dividends+short_term_capital_gains+long_term_capital_gains-(trad_ira_contributions+MIN(student_loan_interest_cap,student_loan_interest))</f>
        <v>76000</v>
      </c>
      <c r="G189" s="1">
        <f t="shared" si="18"/>
        <v>12600</v>
      </c>
      <c r="H189" s="1">
        <f t="shared" si="19"/>
        <v>28350</v>
      </c>
      <c r="I189" s="1">
        <f>MAX(0,Table1[[#This Row],[Agi]]-Table1[[#This Row],[Exemptions]]-Table1[[#This Row],[Effective Deductions]])</f>
        <v>35050</v>
      </c>
      <c r="J1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4330</v>
      </c>
      <c r="K189" s="1">
        <f t="shared" si="20"/>
        <v>5000</v>
      </c>
      <c r="L189" s="1">
        <f>IF(Table1[[#This Row],[Agi]]&gt;ctc_phase_out_begins,ctc_phase_out_rate*(Table1[[#This Row],[Agi]]-ctc_phase_out_begins),0)</f>
        <v>0</v>
      </c>
      <c r="M189" s="1">
        <f>MAX(Table1[[#This Row],[Child Tax Credit]]-Table1[[#This Row],[Child Tax Credit Phase Out]],0)</f>
        <v>5000</v>
      </c>
      <c r="N189" s="1">
        <f>MAX(Table1[[#This Row],[Regular Taxes Owed]]-Table1[[#This Row],[Effective Child Tax Credit]],0)</f>
        <v>0</v>
      </c>
      <c r="O189" s="1">
        <f>MAX(MIN((Table1[[#This Row],[taxable wages]]-3000)*0.15,1000*num_kids_16_younger),0)</f>
        <v>5000</v>
      </c>
      <c r="P189" s="9">
        <f>IF(Table1[[#This Row],[Effective Child Tax Credit]]&gt;Table1[[#This Row],[Regular Taxes Owed]],Table1[[#This Row],[Additional Child Tax Credit ]]-Table1[[#This Row],[Regular Taxes Owed]],0)</f>
        <v>670</v>
      </c>
      <c r="Q1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89" s="1">
        <f>Table1[[#This Row],[Effective Additional Child Tax Credit]]+Table1[[#This Row],[Eitc]]</f>
        <v>670</v>
      </c>
      <c r="S189" s="9">
        <f>Table1[[#This Row],[Regular Taxes Owed - Effective Child Tax Credit]]-Table1[[#This Row],[Total Credits]]</f>
        <v>-670</v>
      </c>
      <c r="T189" s="9">
        <f>Table1[[#This Row],[taxable wages]]+interest+dividends+short_term_capital_gains+long_term_capital_gains-(charitable_donations+mortgage_interest)</f>
        <v>76000</v>
      </c>
      <c r="U189" s="9">
        <f>MAX(amt_exemption-amt_exemption_phase_out_rate*MAX(Table1[[#This Row],[taxable wages]]-amt_phase_out_begins,0),0)</f>
        <v>83800</v>
      </c>
      <c r="V1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89" s="1">
        <f>IF(AND(Table1[[#This Row],[AMT Taxes]]&gt;Table1[[#This Row],[Regular Taxes Owed]],Table1[[#This Row],[AMT Taxes]]&gt;0),Table1[[#This Row],[AMT Taxes]]-Table1[[#This Row],[Regular Taxes Owed]],0)</f>
        <v>0</v>
      </c>
      <c r="X189" s="9">
        <f>Table1[[#This Row],[Extra Taxes From Amt]]+Table1[[#This Row],[Federal Taxes Owed (No AMT)]]</f>
        <v>-670</v>
      </c>
      <c r="Y189" s="9">
        <f>IF(Table1[[#This Row],[taxable wages]]&gt;obamacare_surcharge_amount,obamacare_surcharge_percent*(Table1[[#This Row],[taxable wages]]-obamacare_surcharge_amount),0)</f>
        <v>0</v>
      </c>
      <c r="Z189" s="9">
        <f>Table1[[#This Row],[Federal Taxes Owed (Includes AMT)]]+Table1[[#This Row],[Obamacare surcharge premium]]</f>
        <v>-670</v>
      </c>
      <c r="AA189" s="9">
        <f>Table1[[#This Row],[taxable wages]]-Table1[[#This Row],[Federal Taxes Owed2]]</f>
        <v>76670</v>
      </c>
      <c r="AB189" s="51">
        <f t="shared" si="21"/>
        <v>0.15</v>
      </c>
      <c r="AC189" s="41"/>
      <c r="AD189" s="4"/>
      <c r="AE189" s="13"/>
    </row>
    <row r="190" spans="2:31" x14ac:dyDescent="0.3">
      <c r="B190" s="41">
        <f t="shared" si="22"/>
        <v>76500</v>
      </c>
      <c r="C190" s="1">
        <f>Table1[[#This Row],[taxable wages]]</f>
        <v>76500</v>
      </c>
      <c r="D190" s="1">
        <f>Table1[[#This Row],[taxable wages]]+interest+dividends+short_term_capital_gains+long_term_capital_gains</f>
        <v>76500</v>
      </c>
      <c r="E190" s="1">
        <f>MAX(Table1[[#This Row],[earned income for EITC]:[Agi For Eitc Calc]])</f>
        <v>76500</v>
      </c>
      <c r="F190" s="1">
        <f>Table1[[#This Row],[taxable wages]]+interest+dividends+short_term_capital_gains+long_term_capital_gains-(trad_ira_contributions+MIN(student_loan_interest_cap,student_loan_interest))</f>
        <v>76500</v>
      </c>
      <c r="G190" s="1">
        <f t="shared" si="18"/>
        <v>12600</v>
      </c>
      <c r="H190" s="1">
        <f t="shared" si="19"/>
        <v>28350</v>
      </c>
      <c r="I190" s="1">
        <f>MAX(0,Table1[[#This Row],[Agi]]-Table1[[#This Row],[Exemptions]]-Table1[[#This Row],[Effective Deductions]])</f>
        <v>35550</v>
      </c>
      <c r="J1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4405</v>
      </c>
      <c r="K190" s="1">
        <f t="shared" si="20"/>
        <v>5000</v>
      </c>
      <c r="L190" s="1">
        <f>IF(Table1[[#This Row],[Agi]]&gt;ctc_phase_out_begins,ctc_phase_out_rate*(Table1[[#This Row],[Agi]]-ctc_phase_out_begins),0)</f>
        <v>0</v>
      </c>
      <c r="M190" s="1">
        <f>MAX(Table1[[#This Row],[Child Tax Credit]]-Table1[[#This Row],[Child Tax Credit Phase Out]],0)</f>
        <v>5000</v>
      </c>
      <c r="N190" s="1">
        <f>MAX(Table1[[#This Row],[Regular Taxes Owed]]-Table1[[#This Row],[Effective Child Tax Credit]],0)</f>
        <v>0</v>
      </c>
      <c r="O190" s="1">
        <f>MAX(MIN((Table1[[#This Row],[taxable wages]]-3000)*0.15,1000*num_kids_16_younger),0)</f>
        <v>5000</v>
      </c>
      <c r="P190" s="9">
        <f>IF(Table1[[#This Row],[Effective Child Tax Credit]]&gt;Table1[[#This Row],[Regular Taxes Owed]],Table1[[#This Row],[Additional Child Tax Credit ]]-Table1[[#This Row],[Regular Taxes Owed]],0)</f>
        <v>595</v>
      </c>
      <c r="Q1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0" s="1">
        <f>Table1[[#This Row],[Effective Additional Child Tax Credit]]+Table1[[#This Row],[Eitc]]</f>
        <v>595</v>
      </c>
      <c r="S190" s="9">
        <f>Table1[[#This Row],[Regular Taxes Owed - Effective Child Tax Credit]]-Table1[[#This Row],[Total Credits]]</f>
        <v>-595</v>
      </c>
      <c r="T190" s="9">
        <f>Table1[[#This Row],[taxable wages]]+interest+dividends+short_term_capital_gains+long_term_capital_gains-(charitable_donations+mortgage_interest)</f>
        <v>76500</v>
      </c>
      <c r="U190" s="9">
        <f>MAX(amt_exemption-amt_exemption_phase_out_rate*MAX(Table1[[#This Row],[taxable wages]]-amt_phase_out_begins,0),0)</f>
        <v>83800</v>
      </c>
      <c r="V1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0" s="1">
        <f>IF(AND(Table1[[#This Row],[AMT Taxes]]&gt;Table1[[#This Row],[Regular Taxes Owed]],Table1[[#This Row],[AMT Taxes]]&gt;0),Table1[[#This Row],[AMT Taxes]]-Table1[[#This Row],[Regular Taxes Owed]],0)</f>
        <v>0</v>
      </c>
      <c r="X190" s="9">
        <f>Table1[[#This Row],[Extra Taxes From Amt]]+Table1[[#This Row],[Federal Taxes Owed (No AMT)]]</f>
        <v>-595</v>
      </c>
      <c r="Y190" s="9">
        <f>IF(Table1[[#This Row],[taxable wages]]&gt;obamacare_surcharge_amount,obamacare_surcharge_percent*(Table1[[#This Row],[taxable wages]]-obamacare_surcharge_amount),0)</f>
        <v>0</v>
      </c>
      <c r="Z190" s="9">
        <f>Table1[[#This Row],[Federal Taxes Owed (Includes AMT)]]+Table1[[#This Row],[Obamacare surcharge premium]]</f>
        <v>-595</v>
      </c>
      <c r="AA190" s="9">
        <f>Table1[[#This Row],[taxable wages]]-Table1[[#This Row],[Federal Taxes Owed2]]</f>
        <v>77095</v>
      </c>
      <c r="AB190" s="51">
        <f t="shared" si="21"/>
        <v>0.15</v>
      </c>
      <c r="AC190" s="41"/>
      <c r="AD190" s="4"/>
      <c r="AE190" s="13"/>
    </row>
    <row r="191" spans="2:31" x14ac:dyDescent="0.3">
      <c r="B191" s="41">
        <f t="shared" si="22"/>
        <v>77000</v>
      </c>
      <c r="C191" s="1">
        <f>Table1[[#This Row],[taxable wages]]</f>
        <v>77000</v>
      </c>
      <c r="D191" s="1">
        <f>Table1[[#This Row],[taxable wages]]+interest+dividends+short_term_capital_gains+long_term_capital_gains</f>
        <v>77000</v>
      </c>
      <c r="E191" s="1">
        <f>MAX(Table1[[#This Row],[earned income for EITC]:[Agi For Eitc Calc]])</f>
        <v>77000</v>
      </c>
      <c r="F191" s="1">
        <f>Table1[[#This Row],[taxable wages]]+interest+dividends+short_term_capital_gains+long_term_capital_gains-(trad_ira_contributions+MIN(student_loan_interest_cap,student_loan_interest))</f>
        <v>77000</v>
      </c>
      <c r="G191" s="1">
        <f t="shared" si="18"/>
        <v>12600</v>
      </c>
      <c r="H191" s="1">
        <f t="shared" si="19"/>
        <v>28350</v>
      </c>
      <c r="I191" s="1">
        <f>MAX(0,Table1[[#This Row],[Agi]]-Table1[[#This Row],[Exemptions]]-Table1[[#This Row],[Effective Deductions]])</f>
        <v>36050</v>
      </c>
      <c r="J1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4480</v>
      </c>
      <c r="K191" s="1">
        <f t="shared" si="20"/>
        <v>5000</v>
      </c>
      <c r="L191" s="1">
        <f>IF(Table1[[#This Row],[Agi]]&gt;ctc_phase_out_begins,ctc_phase_out_rate*(Table1[[#This Row],[Agi]]-ctc_phase_out_begins),0)</f>
        <v>0</v>
      </c>
      <c r="M191" s="1">
        <f>MAX(Table1[[#This Row],[Child Tax Credit]]-Table1[[#This Row],[Child Tax Credit Phase Out]],0)</f>
        <v>5000</v>
      </c>
      <c r="N191" s="1">
        <f>MAX(Table1[[#This Row],[Regular Taxes Owed]]-Table1[[#This Row],[Effective Child Tax Credit]],0)</f>
        <v>0</v>
      </c>
      <c r="O191" s="1">
        <f>MAX(MIN((Table1[[#This Row],[taxable wages]]-3000)*0.15,1000*num_kids_16_younger),0)</f>
        <v>5000</v>
      </c>
      <c r="P191" s="9">
        <f>IF(Table1[[#This Row],[Effective Child Tax Credit]]&gt;Table1[[#This Row],[Regular Taxes Owed]],Table1[[#This Row],[Additional Child Tax Credit ]]-Table1[[#This Row],[Regular Taxes Owed]],0)</f>
        <v>520</v>
      </c>
      <c r="Q1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1" s="1">
        <f>Table1[[#This Row],[Effective Additional Child Tax Credit]]+Table1[[#This Row],[Eitc]]</f>
        <v>520</v>
      </c>
      <c r="S191" s="9">
        <f>Table1[[#This Row],[Regular Taxes Owed - Effective Child Tax Credit]]-Table1[[#This Row],[Total Credits]]</f>
        <v>-520</v>
      </c>
      <c r="T191" s="9">
        <f>Table1[[#This Row],[taxable wages]]+interest+dividends+short_term_capital_gains+long_term_capital_gains-(charitable_donations+mortgage_interest)</f>
        <v>77000</v>
      </c>
      <c r="U191" s="9">
        <f>MAX(amt_exemption-amt_exemption_phase_out_rate*MAX(Table1[[#This Row],[taxable wages]]-amt_phase_out_begins,0),0)</f>
        <v>83800</v>
      </c>
      <c r="V1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1" s="1">
        <f>IF(AND(Table1[[#This Row],[AMT Taxes]]&gt;Table1[[#This Row],[Regular Taxes Owed]],Table1[[#This Row],[AMT Taxes]]&gt;0),Table1[[#This Row],[AMT Taxes]]-Table1[[#This Row],[Regular Taxes Owed]],0)</f>
        <v>0</v>
      </c>
      <c r="X191" s="9">
        <f>Table1[[#This Row],[Extra Taxes From Amt]]+Table1[[#This Row],[Federal Taxes Owed (No AMT)]]</f>
        <v>-520</v>
      </c>
      <c r="Y191" s="9">
        <f>IF(Table1[[#This Row],[taxable wages]]&gt;obamacare_surcharge_amount,obamacare_surcharge_percent*(Table1[[#This Row],[taxable wages]]-obamacare_surcharge_amount),0)</f>
        <v>0</v>
      </c>
      <c r="Z191" s="9">
        <f>Table1[[#This Row],[Federal Taxes Owed (Includes AMT)]]+Table1[[#This Row],[Obamacare surcharge premium]]</f>
        <v>-520</v>
      </c>
      <c r="AA191" s="9">
        <f>Table1[[#This Row],[taxable wages]]-Table1[[#This Row],[Federal Taxes Owed2]]</f>
        <v>77520</v>
      </c>
      <c r="AB191" s="51">
        <f t="shared" si="21"/>
        <v>0.15</v>
      </c>
      <c r="AC191" s="41"/>
      <c r="AD191" s="4"/>
      <c r="AE191" s="13"/>
    </row>
    <row r="192" spans="2:31" x14ac:dyDescent="0.3">
      <c r="B192" s="41">
        <f t="shared" si="22"/>
        <v>77500</v>
      </c>
      <c r="C192" s="1">
        <f>Table1[[#This Row],[taxable wages]]</f>
        <v>77500</v>
      </c>
      <c r="D192" s="1">
        <f>Table1[[#This Row],[taxable wages]]+interest+dividends+short_term_capital_gains+long_term_capital_gains</f>
        <v>77500</v>
      </c>
      <c r="E192" s="1">
        <f>MAX(Table1[[#This Row],[earned income for EITC]:[Agi For Eitc Calc]])</f>
        <v>77500</v>
      </c>
      <c r="F192" s="1">
        <f>Table1[[#This Row],[taxable wages]]+interest+dividends+short_term_capital_gains+long_term_capital_gains-(trad_ira_contributions+MIN(student_loan_interest_cap,student_loan_interest))</f>
        <v>77500</v>
      </c>
      <c r="G192" s="1">
        <f t="shared" si="18"/>
        <v>12600</v>
      </c>
      <c r="H192" s="1">
        <f t="shared" si="19"/>
        <v>28350</v>
      </c>
      <c r="I192" s="1">
        <f>MAX(0,Table1[[#This Row],[Agi]]-Table1[[#This Row],[Exemptions]]-Table1[[#This Row],[Effective Deductions]])</f>
        <v>36550</v>
      </c>
      <c r="J1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4555</v>
      </c>
      <c r="K192" s="1">
        <f t="shared" si="20"/>
        <v>5000</v>
      </c>
      <c r="L192" s="1">
        <f>IF(Table1[[#This Row],[Agi]]&gt;ctc_phase_out_begins,ctc_phase_out_rate*(Table1[[#This Row],[Agi]]-ctc_phase_out_begins),0)</f>
        <v>0</v>
      </c>
      <c r="M192" s="1">
        <f>MAX(Table1[[#This Row],[Child Tax Credit]]-Table1[[#This Row],[Child Tax Credit Phase Out]],0)</f>
        <v>5000</v>
      </c>
      <c r="N192" s="1">
        <f>MAX(Table1[[#This Row],[Regular Taxes Owed]]-Table1[[#This Row],[Effective Child Tax Credit]],0)</f>
        <v>0</v>
      </c>
      <c r="O192" s="1">
        <f>MAX(MIN((Table1[[#This Row],[taxable wages]]-3000)*0.15,1000*num_kids_16_younger),0)</f>
        <v>5000</v>
      </c>
      <c r="P192" s="9">
        <f>IF(Table1[[#This Row],[Effective Child Tax Credit]]&gt;Table1[[#This Row],[Regular Taxes Owed]],Table1[[#This Row],[Additional Child Tax Credit ]]-Table1[[#This Row],[Regular Taxes Owed]],0)</f>
        <v>445</v>
      </c>
      <c r="Q1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2" s="1">
        <f>Table1[[#This Row],[Effective Additional Child Tax Credit]]+Table1[[#This Row],[Eitc]]</f>
        <v>445</v>
      </c>
      <c r="S192" s="9">
        <f>Table1[[#This Row],[Regular Taxes Owed - Effective Child Tax Credit]]-Table1[[#This Row],[Total Credits]]</f>
        <v>-445</v>
      </c>
      <c r="T192" s="9">
        <f>Table1[[#This Row],[taxable wages]]+interest+dividends+short_term_capital_gains+long_term_capital_gains-(charitable_donations+mortgage_interest)</f>
        <v>77500</v>
      </c>
      <c r="U192" s="9">
        <f>MAX(amt_exemption-amt_exemption_phase_out_rate*MAX(Table1[[#This Row],[taxable wages]]-amt_phase_out_begins,0),0)</f>
        <v>83800</v>
      </c>
      <c r="V1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2" s="1">
        <f>IF(AND(Table1[[#This Row],[AMT Taxes]]&gt;Table1[[#This Row],[Regular Taxes Owed]],Table1[[#This Row],[AMT Taxes]]&gt;0),Table1[[#This Row],[AMT Taxes]]-Table1[[#This Row],[Regular Taxes Owed]],0)</f>
        <v>0</v>
      </c>
      <c r="X192" s="9">
        <f>Table1[[#This Row],[Extra Taxes From Amt]]+Table1[[#This Row],[Federal Taxes Owed (No AMT)]]</f>
        <v>-445</v>
      </c>
      <c r="Y192" s="9">
        <f>IF(Table1[[#This Row],[taxable wages]]&gt;obamacare_surcharge_amount,obamacare_surcharge_percent*(Table1[[#This Row],[taxable wages]]-obamacare_surcharge_amount),0)</f>
        <v>0</v>
      </c>
      <c r="Z192" s="9">
        <f>Table1[[#This Row],[Federal Taxes Owed (Includes AMT)]]+Table1[[#This Row],[Obamacare surcharge premium]]</f>
        <v>-445</v>
      </c>
      <c r="AA192" s="9">
        <f>Table1[[#This Row],[taxable wages]]-Table1[[#This Row],[Federal Taxes Owed2]]</f>
        <v>77945</v>
      </c>
      <c r="AB192" s="51">
        <f t="shared" si="21"/>
        <v>0.15</v>
      </c>
      <c r="AC192" s="41"/>
      <c r="AD192" s="4"/>
      <c r="AE192" s="13"/>
    </row>
    <row r="193" spans="2:31" x14ac:dyDescent="0.3">
      <c r="B193" s="41">
        <f t="shared" si="22"/>
        <v>78000</v>
      </c>
      <c r="C193" s="1">
        <f>Table1[[#This Row],[taxable wages]]</f>
        <v>78000</v>
      </c>
      <c r="D193" s="1">
        <f>Table1[[#This Row],[taxable wages]]+interest+dividends+short_term_capital_gains+long_term_capital_gains</f>
        <v>78000</v>
      </c>
      <c r="E193" s="1">
        <f>MAX(Table1[[#This Row],[earned income for EITC]:[Agi For Eitc Calc]])</f>
        <v>78000</v>
      </c>
      <c r="F193" s="1">
        <f>Table1[[#This Row],[taxable wages]]+interest+dividends+short_term_capital_gains+long_term_capital_gains-(trad_ira_contributions+MIN(student_loan_interest_cap,student_loan_interest))</f>
        <v>78000</v>
      </c>
      <c r="G193" s="1">
        <f t="shared" si="18"/>
        <v>12600</v>
      </c>
      <c r="H193" s="1">
        <f t="shared" si="19"/>
        <v>28350</v>
      </c>
      <c r="I193" s="1">
        <f>MAX(0,Table1[[#This Row],[Agi]]-Table1[[#This Row],[Exemptions]]-Table1[[#This Row],[Effective Deductions]])</f>
        <v>37050</v>
      </c>
      <c r="J1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4630</v>
      </c>
      <c r="K193" s="1">
        <f t="shared" si="20"/>
        <v>5000</v>
      </c>
      <c r="L193" s="1">
        <f>IF(Table1[[#This Row],[Agi]]&gt;ctc_phase_out_begins,ctc_phase_out_rate*(Table1[[#This Row],[Agi]]-ctc_phase_out_begins),0)</f>
        <v>0</v>
      </c>
      <c r="M193" s="1">
        <f>MAX(Table1[[#This Row],[Child Tax Credit]]-Table1[[#This Row],[Child Tax Credit Phase Out]],0)</f>
        <v>5000</v>
      </c>
      <c r="N193" s="1">
        <f>MAX(Table1[[#This Row],[Regular Taxes Owed]]-Table1[[#This Row],[Effective Child Tax Credit]],0)</f>
        <v>0</v>
      </c>
      <c r="O193" s="1">
        <f>MAX(MIN((Table1[[#This Row],[taxable wages]]-3000)*0.15,1000*num_kids_16_younger),0)</f>
        <v>5000</v>
      </c>
      <c r="P193" s="9">
        <f>IF(Table1[[#This Row],[Effective Child Tax Credit]]&gt;Table1[[#This Row],[Regular Taxes Owed]],Table1[[#This Row],[Additional Child Tax Credit ]]-Table1[[#This Row],[Regular Taxes Owed]],0)</f>
        <v>370</v>
      </c>
      <c r="Q1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3" s="1">
        <f>Table1[[#This Row],[Effective Additional Child Tax Credit]]+Table1[[#This Row],[Eitc]]</f>
        <v>370</v>
      </c>
      <c r="S193" s="9">
        <f>Table1[[#This Row],[Regular Taxes Owed - Effective Child Tax Credit]]-Table1[[#This Row],[Total Credits]]</f>
        <v>-370</v>
      </c>
      <c r="T193" s="9">
        <f>Table1[[#This Row],[taxable wages]]+interest+dividends+short_term_capital_gains+long_term_capital_gains-(charitable_donations+mortgage_interest)</f>
        <v>78000</v>
      </c>
      <c r="U193" s="9">
        <f>MAX(amt_exemption-amt_exemption_phase_out_rate*MAX(Table1[[#This Row],[taxable wages]]-amt_phase_out_begins,0),0)</f>
        <v>83800</v>
      </c>
      <c r="V1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3" s="1">
        <f>IF(AND(Table1[[#This Row],[AMT Taxes]]&gt;Table1[[#This Row],[Regular Taxes Owed]],Table1[[#This Row],[AMT Taxes]]&gt;0),Table1[[#This Row],[AMT Taxes]]-Table1[[#This Row],[Regular Taxes Owed]],0)</f>
        <v>0</v>
      </c>
      <c r="X193" s="9">
        <f>Table1[[#This Row],[Extra Taxes From Amt]]+Table1[[#This Row],[Federal Taxes Owed (No AMT)]]</f>
        <v>-370</v>
      </c>
      <c r="Y193" s="9">
        <f>IF(Table1[[#This Row],[taxable wages]]&gt;obamacare_surcharge_amount,obamacare_surcharge_percent*(Table1[[#This Row],[taxable wages]]-obamacare_surcharge_amount),0)</f>
        <v>0</v>
      </c>
      <c r="Z193" s="9">
        <f>Table1[[#This Row],[Federal Taxes Owed (Includes AMT)]]+Table1[[#This Row],[Obamacare surcharge premium]]</f>
        <v>-370</v>
      </c>
      <c r="AA193" s="9">
        <f>Table1[[#This Row],[taxable wages]]-Table1[[#This Row],[Federal Taxes Owed2]]</f>
        <v>78370</v>
      </c>
      <c r="AB193" s="51">
        <f t="shared" si="21"/>
        <v>0.15</v>
      </c>
      <c r="AC193" s="41"/>
      <c r="AD193" s="4"/>
      <c r="AE193" s="13"/>
    </row>
    <row r="194" spans="2:31" x14ac:dyDescent="0.3">
      <c r="B194" s="41">
        <f t="shared" si="22"/>
        <v>78500</v>
      </c>
      <c r="C194" s="1">
        <f>Table1[[#This Row],[taxable wages]]</f>
        <v>78500</v>
      </c>
      <c r="D194" s="1">
        <f>Table1[[#This Row],[taxable wages]]+interest+dividends+short_term_capital_gains+long_term_capital_gains</f>
        <v>78500</v>
      </c>
      <c r="E194" s="1">
        <f>MAX(Table1[[#This Row],[earned income for EITC]:[Agi For Eitc Calc]])</f>
        <v>78500</v>
      </c>
      <c r="F194" s="1">
        <f>Table1[[#This Row],[taxable wages]]+interest+dividends+short_term_capital_gains+long_term_capital_gains-(trad_ira_contributions+MIN(student_loan_interest_cap,student_loan_interest))</f>
        <v>78500</v>
      </c>
      <c r="G194" s="1">
        <f t="shared" si="18"/>
        <v>12600</v>
      </c>
      <c r="H194" s="1">
        <f t="shared" si="19"/>
        <v>28350</v>
      </c>
      <c r="I194" s="1">
        <f>MAX(0,Table1[[#This Row],[Agi]]-Table1[[#This Row],[Exemptions]]-Table1[[#This Row],[Effective Deductions]])</f>
        <v>37550</v>
      </c>
      <c r="J1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4705</v>
      </c>
      <c r="K194" s="1">
        <f t="shared" si="20"/>
        <v>5000</v>
      </c>
      <c r="L194" s="1">
        <f>IF(Table1[[#This Row],[Agi]]&gt;ctc_phase_out_begins,ctc_phase_out_rate*(Table1[[#This Row],[Agi]]-ctc_phase_out_begins),0)</f>
        <v>0</v>
      </c>
      <c r="M194" s="1">
        <f>MAX(Table1[[#This Row],[Child Tax Credit]]-Table1[[#This Row],[Child Tax Credit Phase Out]],0)</f>
        <v>5000</v>
      </c>
      <c r="N194" s="1">
        <f>MAX(Table1[[#This Row],[Regular Taxes Owed]]-Table1[[#This Row],[Effective Child Tax Credit]],0)</f>
        <v>0</v>
      </c>
      <c r="O194" s="1">
        <f>MAX(MIN((Table1[[#This Row],[taxable wages]]-3000)*0.15,1000*num_kids_16_younger),0)</f>
        <v>5000</v>
      </c>
      <c r="P194" s="9">
        <f>IF(Table1[[#This Row],[Effective Child Tax Credit]]&gt;Table1[[#This Row],[Regular Taxes Owed]],Table1[[#This Row],[Additional Child Tax Credit ]]-Table1[[#This Row],[Regular Taxes Owed]],0)</f>
        <v>295</v>
      </c>
      <c r="Q1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4" s="1">
        <f>Table1[[#This Row],[Effective Additional Child Tax Credit]]+Table1[[#This Row],[Eitc]]</f>
        <v>295</v>
      </c>
      <c r="S194" s="9">
        <f>Table1[[#This Row],[Regular Taxes Owed - Effective Child Tax Credit]]-Table1[[#This Row],[Total Credits]]</f>
        <v>-295</v>
      </c>
      <c r="T194" s="9">
        <f>Table1[[#This Row],[taxable wages]]+interest+dividends+short_term_capital_gains+long_term_capital_gains-(charitable_donations+mortgage_interest)</f>
        <v>78500</v>
      </c>
      <c r="U194" s="9">
        <f>MAX(amt_exemption-amt_exemption_phase_out_rate*MAX(Table1[[#This Row],[taxable wages]]-amt_phase_out_begins,0),0)</f>
        <v>83800</v>
      </c>
      <c r="V1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4" s="1">
        <f>IF(AND(Table1[[#This Row],[AMT Taxes]]&gt;Table1[[#This Row],[Regular Taxes Owed]],Table1[[#This Row],[AMT Taxes]]&gt;0),Table1[[#This Row],[AMT Taxes]]-Table1[[#This Row],[Regular Taxes Owed]],0)</f>
        <v>0</v>
      </c>
      <c r="X194" s="9">
        <f>Table1[[#This Row],[Extra Taxes From Amt]]+Table1[[#This Row],[Federal Taxes Owed (No AMT)]]</f>
        <v>-295</v>
      </c>
      <c r="Y194" s="9">
        <f>IF(Table1[[#This Row],[taxable wages]]&gt;obamacare_surcharge_amount,obamacare_surcharge_percent*(Table1[[#This Row],[taxable wages]]-obamacare_surcharge_amount),0)</f>
        <v>0</v>
      </c>
      <c r="Z194" s="9">
        <f>Table1[[#This Row],[Federal Taxes Owed (Includes AMT)]]+Table1[[#This Row],[Obamacare surcharge premium]]</f>
        <v>-295</v>
      </c>
      <c r="AA194" s="9">
        <f>Table1[[#This Row],[taxable wages]]-Table1[[#This Row],[Federal Taxes Owed2]]</f>
        <v>78795</v>
      </c>
      <c r="AB194" s="51">
        <f t="shared" si="21"/>
        <v>0.15</v>
      </c>
      <c r="AC194" s="41"/>
      <c r="AD194" s="4"/>
      <c r="AE194" s="13"/>
    </row>
    <row r="195" spans="2:31" x14ac:dyDescent="0.3">
      <c r="B195" s="41">
        <f t="shared" si="22"/>
        <v>79000</v>
      </c>
      <c r="C195" s="1">
        <f>Table1[[#This Row],[taxable wages]]</f>
        <v>79000</v>
      </c>
      <c r="D195" s="1">
        <f>Table1[[#This Row],[taxable wages]]+interest+dividends+short_term_capital_gains+long_term_capital_gains</f>
        <v>79000</v>
      </c>
      <c r="E195" s="1">
        <f>MAX(Table1[[#This Row],[earned income for EITC]:[Agi For Eitc Calc]])</f>
        <v>79000</v>
      </c>
      <c r="F195" s="1">
        <f>Table1[[#This Row],[taxable wages]]+interest+dividends+short_term_capital_gains+long_term_capital_gains-(trad_ira_contributions+MIN(student_loan_interest_cap,student_loan_interest))</f>
        <v>79000</v>
      </c>
      <c r="G195" s="1">
        <f t="shared" si="18"/>
        <v>12600</v>
      </c>
      <c r="H195" s="1">
        <f t="shared" si="19"/>
        <v>28350</v>
      </c>
      <c r="I195" s="1">
        <f>MAX(0,Table1[[#This Row],[Agi]]-Table1[[#This Row],[Exemptions]]-Table1[[#This Row],[Effective Deductions]])</f>
        <v>38050</v>
      </c>
      <c r="J1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4780</v>
      </c>
      <c r="K195" s="1">
        <f t="shared" si="20"/>
        <v>5000</v>
      </c>
      <c r="L195" s="1">
        <f>IF(Table1[[#This Row],[Agi]]&gt;ctc_phase_out_begins,ctc_phase_out_rate*(Table1[[#This Row],[Agi]]-ctc_phase_out_begins),0)</f>
        <v>0</v>
      </c>
      <c r="M195" s="1">
        <f>MAX(Table1[[#This Row],[Child Tax Credit]]-Table1[[#This Row],[Child Tax Credit Phase Out]],0)</f>
        <v>5000</v>
      </c>
      <c r="N195" s="1">
        <f>MAX(Table1[[#This Row],[Regular Taxes Owed]]-Table1[[#This Row],[Effective Child Tax Credit]],0)</f>
        <v>0</v>
      </c>
      <c r="O195" s="1">
        <f>MAX(MIN((Table1[[#This Row],[taxable wages]]-3000)*0.15,1000*num_kids_16_younger),0)</f>
        <v>5000</v>
      </c>
      <c r="P195" s="9">
        <f>IF(Table1[[#This Row],[Effective Child Tax Credit]]&gt;Table1[[#This Row],[Regular Taxes Owed]],Table1[[#This Row],[Additional Child Tax Credit ]]-Table1[[#This Row],[Regular Taxes Owed]],0)</f>
        <v>220</v>
      </c>
      <c r="Q1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5" s="1">
        <f>Table1[[#This Row],[Effective Additional Child Tax Credit]]+Table1[[#This Row],[Eitc]]</f>
        <v>220</v>
      </c>
      <c r="S195" s="9">
        <f>Table1[[#This Row],[Regular Taxes Owed - Effective Child Tax Credit]]-Table1[[#This Row],[Total Credits]]</f>
        <v>-220</v>
      </c>
      <c r="T195" s="9">
        <f>Table1[[#This Row],[taxable wages]]+interest+dividends+short_term_capital_gains+long_term_capital_gains-(charitable_donations+mortgage_interest)</f>
        <v>79000</v>
      </c>
      <c r="U195" s="9">
        <f>MAX(amt_exemption-amt_exemption_phase_out_rate*MAX(Table1[[#This Row],[taxable wages]]-amt_phase_out_begins,0),0)</f>
        <v>83800</v>
      </c>
      <c r="V1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5" s="1">
        <f>IF(AND(Table1[[#This Row],[AMT Taxes]]&gt;Table1[[#This Row],[Regular Taxes Owed]],Table1[[#This Row],[AMT Taxes]]&gt;0),Table1[[#This Row],[AMT Taxes]]-Table1[[#This Row],[Regular Taxes Owed]],0)</f>
        <v>0</v>
      </c>
      <c r="X195" s="9">
        <f>Table1[[#This Row],[Extra Taxes From Amt]]+Table1[[#This Row],[Federal Taxes Owed (No AMT)]]</f>
        <v>-220</v>
      </c>
      <c r="Y195" s="9">
        <f>IF(Table1[[#This Row],[taxable wages]]&gt;obamacare_surcharge_amount,obamacare_surcharge_percent*(Table1[[#This Row],[taxable wages]]-obamacare_surcharge_amount),0)</f>
        <v>0</v>
      </c>
      <c r="Z195" s="9">
        <f>Table1[[#This Row],[Federal Taxes Owed (Includes AMT)]]+Table1[[#This Row],[Obamacare surcharge premium]]</f>
        <v>-220</v>
      </c>
      <c r="AA195" s="9">
        <f>Table1[[#This Row],[taxable wages]]-Table1[[#This Row],[Federal Taxes Owed2]]</f>
        <v>79220</v>
      </c>
      <c r="AB195" s="51">
        <f t="shared" si="21"/>
        <v>0.15</v>
      </c>
      <c r="AC195" s="41"/>
      <c r="AD195" s="4"/>
      <c r="AE195" s="13"/>
    </row>
    <row r="196" spans="2:31" x14ac:dyDescent="0.3">
      <c r="B196" s="41">
        <f t="shared" si="22"/>
        <v>79500</v>
      </c>
      <c r="C196" s="1">
        <f>Table1[[#This Row],[taxable wages]]</f>
        <v>79500</v>
      </c>
      <c r="D196" s="1">
        <f>Table1[[#This Row],[taxable wages]]+interest+dividends+short_term_capital_gains+long_term_capital_gains</f>
        <v>79500</v>
      </c>
      <c r="E196" s="1">
        <f>MAX(Table1[[#This Row],[earned income for EITC]:[Agi For Eitc Calc]])</f>
        <v>79500</v>
      </c>
      <c r="F196" s="1">
        <f>Table1[[#This Row],[taxable wages]]+interest+dividends+short_term_capital_gains+long_term_capital_gains-(trad_ira_contributions+MIN(student_loan_interest_cap,student_loan_interest))</f>
        <v>79500</v>
      </c>
      <c r="G196" s="1">
        <f t="shared" si="18"/>
        <v>12600</v>
      </c>
      <c r="H196" s="1">
        <f t="shared" si="19"/>
        <v>28350</v>
      </c>
      <c r="I196" s="1">
        <f>MAX(0,Table1[[#This Row],[Agi]]-Table1[[#This Row],[Exemptions]]-Table1[[#This Row],[Effective Deductions]])</f>
        <v>38550</v>
      </c>
      <c r="J1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4855</v>
      </c>
      <c r="K196" s="1">
        <f t="shared" si="20"/>
        <v>5000</v>
      </c>
      <c r="L196" s="1">
        <f>IF(Table1[[#This Row],[Agi]]&gt;ctc_phase_out_begins,ctc_phase_out_rate*(Table1[[#This Row],[Agi]]-ctc_phase_out_begins),0)</f>
        <v>0</v>
      </c>
      <c r="M196" s="1">
        <f>MAX(Table1[[#This Row],[Child Tax Credit]]-Table1[[#This Row],[Child Tax Credit Phase Out]],0)</f>
        <v>5000</v>
      </c>
      <c r="N196" s="1">
        <f>MAX(Table1[[#This Row],[Regular Taxes Owed]]-Table1[[#This Row],[Effective Child Tax Credit]],0)</f>
        <v>0</v>
      </c>
      <c r="O196" s="1">
        <f>MAX(MIN((Table1[[#This Row],[taxable wages]]-3000)*0.15,1000*num_kids_16_younger),0)</f>
        <v>5000</v>
      </c>
      <c r="P196" s="9">
        <f>IF(Table1[[#This Row],[Effective Child Tax Credit]]&gt;Table1[[#This Row],[Regular Taxes Owed]],Table1[[#This Row],[Additional Child Tax Credit ]]-Table1[[#This Row],[Regular Taxes Owed]],0)</f>
        <v>145</v>
      </c>
      <c r="Q1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6" s="1">
        <f>Table1[[#This Row],[Effective Additional Child Tax Credit]]+Table1[[#This Row],[Eitc]]</f>
        <v>145</v>
      </c>
      <c r="S196" s="9">
        <f>Table1[[#This Row],[Regular Taxes Owed - Effective Child Tax Credit]]-Table1[[#This Row],[Total Credits]]</f>
        <v>-145</v>
      </c>
      <c r="T196" s="9">
        <f>Table1[[#This Row],[taxable wages]]+interest+dividends+short_term_capital_gains+long_term_capital_gains-(charitable_donations+mortgage_interest)</f>
        <v>79500</v>
      </c>
      <c r="U196" s="9">
        <f>MAX(amt_exemption-amt_exemption_phase_out_rate*MAX(Table1[[#This Row],[taxable wages]]-amt_phase_out_begins,0),0)</f>
        <v>83800</v>
      </c>
      <c r="V1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6" s="1">
        <f>IF(AND(Table1[[#This Row],[AMT Taxes]]&gt;Table1[[#This Row],[Regular Taxes Owed]],Table1[[#This Row],[AMT Taxes]]&gt;0),Table1[[#This Row],[AMT Taxes]]-Table1[[#This Row],[Regular Taxes Owed]],0)</f>
        <v>0</v>
      </c>
      <c r="X196" s="9">
        <f>Table1[[#This Row],[Extra Taxes From Amt]]+Table1[[#This Row],[Federal Taxes Owed (No AMT)]]</f>
        <v>-145</v>
      </c>
      <c r="Y196" s="9">
        <f>IF(Table1[[#This Row],[taxable wages]]&gt;obamacare_surcharge_amount,obamacare_surcharge_percent*(Table1[[#This Row],[taxable wages]]-obamacare_surcharge_amount),0)</f>
        <v>0</v>
      </c>
      <c r="Z196" s="9">
        <f>Table1[[#This Row],[Federal Taxes Owed (Includes AMT)]]+Table1[[#This Row],[Obamacare surcharge premium]]</f>
        <v>-145</v>
      </c>
      <c r="AA196" s="9">
        <f>Table1[[#This Row],[taxable wages]]-Table1[[#This Row],[Federal Taxes Owed2]]</f>
        <v>79645</v>
      </c>
      <c r="AB196" s="51">
        <f t="shared" si="21"/>
        <v>0.15</v>
      </c>
      <c r="AC196" s="41"/>
      <c r="AD196" s="4"/>
      <c r="AE196" s="13"/>
    </row>
    <row r="197" spans="2:31" x14ac:dyDescent="0.3">
      <c r="B197" s="41">
        <f t="shared" si="22"/>
        <v>80000</v>
      </c>
      <c r="C197" s="1">
        <f>Table1[[#This Row],[taxable wages]]</f>
        <v>80000</v>
      </c>
      <c r="D197" s="1">
        <f>Table1[[#This Row],[taxable wages]]+interest+dividends+short_term_capital_gains+long_term_capital_gains</f>
        <v>80000</v>
      </c>
      <c r="E197" s="1">
        <f>MAX(Table1[[#This Row],[earned income for EITC]:[Agi For Eitc Calc]])</f>
        <v>80000</v>
      </c>
      <c r="F197" s="1">
        <f>Table1[[#This Row],[taxable wages]]+interest+dividends+short_term_capital_gains+long_term_capital_gains-(trad_ira_contributions+MIN(student_loan_interest_cap,student_loan_interest))</f>
        <v>80000</v>
      </c>
      <c r="G197" s="1">
        <f t="shared" si="18"/>
        <v>12600</v>
      </c>
      <c r="H197" s="1">
        <f t="shared" si="19"/>
        <v>28350</v>
      </c>
      <c r="I197" s="1">
        <f>MAX(0,Table1[[#This Row],[Agi]]-Table1[[#This Row],[Exemptions]]-Table1[[#This Row],[Effective Deductions]])</f>
        <v>39050</v>
      </c>
      <c r="J1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4930</v>
      </c>
      <c r="K197" s="1">
        <f t="shared" si="20"/>
        <v>5000</v>
      </c>
      <c r="L197" s="1">
        <f>IF(Table1[[#This Row],[Agi]]&gt;ctc_phase_out_begins,ctc_phase_out_rate*(Table1[[#This Row],[Agi]]-ctc_phase_out_begins),0)</f>
        <v>0</v>
      </c>
      <c r="M197" s="1">
        <f>MAX(Table1[[#This Row],[Child Tax Credit]]-Table1[[#This Row],[Child Tax Credit Phase Out]],0)</f>
        <v>5000</v>
      </c>
      <c r="N197" s="1">
        <f>MAX(Table1[[#This Row],[Regular Taxes Owed]]-Table1[[#This Row],[Effective Child Tax Credit]],0)</f>
        <v>0</v>
      </c>
      <c r="O197" s="1">
        <f>MAX(MIN((Table1[[#This Row],[taxable wages]]-3000)*0.15,1000*num_kids_16_younger),0)</f>
        <v>5000</v>
      </c>
      <c r="P197" s="9">
        <f>IF(Table1[[#This Row],[Effective Child Tax Credit]]&gt;Table1[[#This Row],[Regular Taxes Owed]],Table1[[#This Row],[Additional Child Tax Credit ]]-Table1[[#This Row],[Regular Taxes Owed]],0)</f>
        <v>70</v>
      </c>
      <c r="Q1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7" s="1">
        <f>Table1[[#This Row],[Effective Additional Child Tax Credit]]+Table1[[#This Row],[Eitc]]</f>
        <v>70</v>
      </c>
      <c r="S197" s="9">
        <f>Table1[[#This Row],[Regular Taxes Owed - Effective Child Tax Credit]]-Table1[[#This Row],[Total Credits]]</f>
        <v>-70</v>
      </c>
      <c r="T197" s="9">
        <f>Table1[[#This Row],[taxable wages]]+interest+dividends+short_term_capital_gains+long_term_capital_gains-(charitable_donations+mortgage_interest)</f>
        <v>80000</v>
      </c>
      <c r="U197" s="9">
        <f>MAX(amt_exemption-amt_exemption_phase_out_rate*MAX(Table1[[#This Row],[taxable wages]]-amt_phase_out_begins,0),0)</f>
        <v>83800</v>
      </c>
      <c r="V1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7" s="1">
        <f>IF(AND(Table1[[#This Row],[AMT Taxes]]&gt;Table1[[#This Row],[Regular Taxes Owed]],Table1[[#This Row],[AMT Taxes]]&gt;0),Table1[[#This Row],[AMT Taxes]]-Table1[[#This Row],[Regular Taxes Owed]],0)</f>
        <v>0</v>
      </c>
      <c r="X197" s="9">
        <f>Table1[[#This Row],[Extra Taxes From Amt]]+Table1[[#This Row],[Federal Taxes Owed (No AMT)]]</f>
        <v>-70</v>
      </c>
      <c r="Y197" s="9">
        <f>IF(Table1[[#This Row],[taxable wages]]&gt;obamacare_surcharge_amount,obamacare_surcharge_percent*(Table1[[#This Row],[taxable wages]]-obamacare_surcharge_amount),0)</f>
        <v>0</v>
      </c>
      <c r="Z197" s="9">
        <f>Table1[[#This Row],[Federal Taxes Owed (Includes AMT)]]+Table1[[#This Row],[Obamacare surcharge premium]]</f>
        <v>-70</v>
      </c>
      <c r="AA197" s="9">
        <f>Table1[[#This Row],[taxable wages]]-Table1[[#This Row],[Federal Taxes Owed2]]</f>
        <v>80070</v>
      </c>
      <c r="AB197" s="51">
        <f t="shared" si="21"/>
        <v>0.15</v>
      </c>
      <c r="AC197" s="41"/>
      <c r="AD197" s="4"/>
      <c r="AE197" s="13"/>
    </row>
    <row r="198" spans="2:31" x14ac:dyDescent="0.3">
      <c r="B198" s="41">
        <f t="shared" si="22"/>
        <v>80500</v>
      </c>
      <c r="C198" s="1">
        <f>Table1[[#This Row],[taxable wages]]</f>
        <v>80500</v>
      </c>
      <c r="D198" s="1">
        <f>Table1[[#This Row],[taxable wages]]+interest+dividends+short_term_capital_gains+long_term_capital_gains</f>
        <v>80500</v>
      </c>
      <c r="E198" s="1">
        <f>MAX(Table1[[#This Row],[earned income for EITC]:[Agi For Eitc Calc]])</f>
        <v>80500</v>
      </c>
      <c r="F198" s="1">
        <f>Table1[[#This Row],[taxable wages]]+interest+dividends+short_term_capital_gains+long_term_capital_gains-(trad_ira_contributions+MIN(student_loan_interest_cap,student_loan_interest))</f>
        <v>80500</v>
      </c>
      <c r="G198" s="1">
        <f t="shared" si="18"/>
        <v>12600</v>
      </c>
      <c r="H198" s="1">
        <f t="shared" si="19"/>
        <v>28350</v>
      </c>
      <c r="I198" s="1">
        <f>MAX(0,Table1[[#This Row],[Agi]]-Table1[[#This Row],[Exemptions]]-Table1[[#This Row],[Effective Deductions]])</f>
        <v>39550</v>
      </c>
      <c r="J1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5005</v>
      </c>
      <c r="K198" s="1">
        <f t="shared" si="20"/>
        <v>5000</v>
      </c>
      <c r="L198" s="1">
        <f>IF(Table1[[#This Row],[Agi]]&gt;ctc_phase_out_begins,ctc_phase_out_rate*(Table1[[#This Row],[Agi]]-ctc_phase_out_begins),0)</f>
        <v>0</v>
      </c>
      <c r="M198" s="1">
        <f>MAX(Table1[[#This Row],[Child Tax Credit]]-Table1[[#This Row],[Child Tax Credit Phase Out]],0)</f>
        <v>5000</v>
      </c>
      <c r="N198" s="1">
        <f>MAX(Table1[[#This Row],[Regular Taxes Owed]]-Table1[[#This Row],[Effective Child Tax Credit]],0)</f>
        <v>5</v>
      </c>
      <c r="O198" s="1">
        <f>MAX(MIN((Table1[[#This Row],[taxable wages]]-3000)*0.15,1000*num_kids_16_younger),0)</f>
        <v>5000</v>
      </c>
      <c r="P198" s="9">
        <f>IF(Table1[[#This Row],[Effective Child Tax Credit]]&gt;Table1[[#This Row],[Regular Taxes Owed]],Table1[[#This Row],[Additional Child Tax Credit ]]-Table1[[#This Row],[Regular Taxes Owed]],0)</f>
        <v>0</v>
      </c>
      <c r="Q1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8" s="1">
        <f>Table1[[#This Row],[Effective Additional Child Tax Credit]]+Table1[[#This Row],[Eitc]]</f>
        <v>0</v>
      </c>
      <c r="S198" s="9">
        <f>Table1[[#This Row],[Regular Taxes Owed - Effective Child Tax Credit]]-Table1[[#This Row],[Total Credits]]</f>
        <v>5</v>
      </c>
      <c r="T198" s="9">
        <f>Table1[[#This Row],[taxable wages]]+interest+dividends+short_term_capital_gains+long_term_capital_gains-(charitable_donations+mortgage_interest)</f>
        <v>80500</v>
      </c>
      <c r="U198" s="9">
        <f>MAX(amt_exemption-amt_exemption_phase_out_rate*MAX(Table1[[#This Row],[taxable wages]]-amt_phase_out_begins,0),0)</f>
        <v>83800</v>
      </c>
      <c r="V1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8" s="1">
        <f>IF(AND(Table1[[#This Row],[AMT Taxes]]&gt;Table1[[#This Row],[Regular Taxes Owed]],Table1[[#This Row],[AMT Taxes]]&gt;0),Table1[[#This Row],[AMT Taxes]]-Table1[[#This Row],[Regular Taxes Owed]],0)</f>
        <v>0</v>
      </c>
      <c r="X198" s="9">
        <f>Table1[[#This Row],[Extra Taxes From Amt]]+Table1[[#This Row],[Federal Taxes Owed (No AMT)]]</f>
        <v>5</v>
      </c>
      <c r="Y198" s="9">
        <f>IF(Table1[[#This Row],[taxable wages]]&gt;obamacare_surcharge_amount,obamacare_surcharge_percent*(Table1[[#This Row],[taxable wages]]-obamacare_surcharge_amount),0)</f>
        <v>0</v>
      </c>
      <c r="Z198" s="9">
        <f>Table1[[#This Row],[Federal Taxes Owed (Includes AMT)]]+Table1[[#This Row],[Obamacare surcharge premium]]</f>
        <v>5</v>
      </c>
      <c r="AA198" s="9">
        <f>Table1[[#This Row],[taxable wages]]-Table1[[#This Row],[Federal Taxes Owed2]]</f>
        <v>80495</v>
      </c>
      <c r="AB198" s="51">
        <f t="shared" si="21"/>
        <v>0.15</v>
      </c>
      <c r="AC198" s="41"/>
      <c r="AD198" s="4"/>
      <c r="AE198" s="13"/>
    </row>
    <row r="199" spans="2:31" x14ac:dyDescent="0.3">
      <c r="B199" s="41">
        <f t="shared" si="22"/>
        <v>81000</v>
      </c>
      <c r="C199" s="1">
        <f>Table1[[#This Row],[taxable wages]]</f>
        <v>81000</v>
      </c>
      <c r="D199" s="1">
        <f>Table1[[#This Row],[taxable wages]]+interest+dividends+short_term_capital_gains+long_term_capital_gains</f>
        <v>81000</v>
      </c>
      <c r="E199" s="1">
        <f>MAX(Table1[[#This Row],[earned income for EITC]:[Agi For Eitc Calc]])</f>
        <v>81000</v>
      </c>
      <c r="F199" s="1">
        <f>Table1[[#This Row],[taxable wages]]+interest+dividends+short_term_capital_gains+long_term_capital_gains-(trad_ira_contributions+MIN(student_loan_interest_cap,student_loan_interest))</f>
        <v>81000</v>
      </c>
      <c r="G199" s="1">
        <f t="shared" si="18"/>
        <v>12600</v>
      </c>
      <c r="H199" s="1">
        <f t="shared" si="19"/>
        <v>28350</v>
      </c>
      <c r="I199" s="1">
        <f>MAX(0,Table1[[#This Row],[Agi]]-Table1[[#This Row],[Exemptions]]-Table1[[#This Row],[Effective Deductions]])</f>
        <v>40050</v>
      </c>
      <c r="J1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5080</v>
      </c>
      <c r="K199" s="1">
        <f t="shared" si="20"/>
        <v>5000</v>
      </c>
      <c r="L199" s="1">
        <f>IF(Table1[[#This Row],[Agi]]&gt;ctc_phase_out_begins,ctc_phase_out_rate*(Table1[[#This Row],[Agi]]-ctc_phase_out_begins),0)</f>
        <v>0</v>
      </c>
      <c r="M199" s="1">
        <f>MAX(Table1[[#This Row],[Child Tax Credit]]-Table1[[#This Row],[Child Tax Credit Phase Out]],0)</f>
        <v>5000</v>
      </c>
      <c r="N199" s="1">
        <f>MAX(Table1[[#This Row],[Regular Taxes Owed]]-Table1[[#This Row],[Effective Child Tax Credit]],0)</f>
        <v>80</v>
      </c>
      <c r="O199" s="1">
        <f>MAX(MIN((Table1[[#This Row],[taxable wages]]-3000)*0.15,1000*num_kids_16_younger),0)</f>
        <v>5000</v>
      </c>
      <c r="P199" s="9">
        <f>IF(Table1[[#This Row],[Effective Child Tax Credit]]&gt;Table1[[#This Row],[Regular Taxes Owed]],Table1[[#This Row],[Additional Child Tax Credit ]]-Table1[[#This Row],[Regular Taxes Owed]],0)</f>
        <v>0</v>
      </c>
      <c r="Q1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199" s="1">
        <f>Table1[[#This Row],[Effective Additional Child Tax Credit]]+Table1[[#This Row],[Eitc]]</f>
        <v>0</v>
      </c>
      <c r="S199" s="9">
        <f>Table1[[#This Row],[Regular Taxes Owed - Effective Child Tax Credit]]-Table1[[#This Row],[Total Credits]]</f>
        <v>80</v>
      </c>
      <c r="T199" s="9">
        <f>Table1[[#This Row],[taxable wages]]+interest+dividends+short_term_capital_gains+long_term_capital_gains-(charitable_donations+mortgage_interest)</f>
        <v>81000</v>
      </c>
      <c r="U199" s="9">
        <f>MAX(amt_exemption-amt_exemption_phase_out_rate*MAX(Table1[[#This Row],[taxable wages]]-amt_phase_out_begins,0),0)</f>
        <v>83800</v>
      </c>
      <c r="V1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199" s="1">
        <f>IF(AND(Table1[[#This Row],[AMT Taxes]]&gt;Table1[[#This Row],[Regular Taxes Owed]],Table1[[#This Row],[AMT Taxes]]&gt;0),Table1[[#This Row],[AMT Taxes]]-Table1[[#This Row],[Regular Taxes Owed]],0)</f>
        <v>0</v>
      </c>
      <c r="X199" s="9">
        <f>Table1[[#This Row],[Extra Taxes From Amt]]+Table1[[#This Row],[Federal Taxes Owed (No AMT)]]</f>
        <v>80</v>
      </c>
      <c r="Y199" s="9">
        <f>IF(Table1[[#This Row],[taxable wages]]&gt;obamacare_surcharge_amount,obamacare_surcharge_percent*(Table1[[#This Row],[taxable wages]]-obamacare_surcharge_amount),0)</f>
        <v>0</v>
      </c>
      <c r="Z199" s="9">
        <f>Table1[[#This Row],[Federal Taxes Owed (Includes AMT)]]+Table1[[#This Row],[Obamacare surcharge premium]]</f>
        <v>80</v>
      </c>
      <c r="AA199" s="9">
        <f>Table1[[#This Row],[taxable wages]]-Table1[[#This Row],[Federal Taxes Owed2]]</f>
        <v>80920</v>
      </c>
      <c r="AB199" s="51">
        <f t="shared" si="21"/>
        <v>0.15</v>
      </c>
      <c r="AC199" s="41"/>
      <c r="AD199" s="4"/>
      <c r="AE199" s="13"/>
    </row>
    <row r="200" spans="2:31" x14ac:dyDescent="0.3">
      <c r="B200" s="41">
        <f t="shared" si="22"/>
        <v>81500</v>
      </c>
      <c r="C200" s="1">
        <f>Table1[[#This Row],[taxable wages]]</f>
        <v>81500</v>
      </c>
      <c r="D200" s="1">
        <f>Table1[[#This Row],[taxable wages]]+interest+dividends+short_term_capital_gains+long_term_capital_gains</f>
        <v>81500</v>
      </c>
      <c r="E200" s="1">
        <f>MAX(Table1[[#This Row],[earned income for EITC]:[Agi For Eitc Calc]])</f>
        <v>81500</v>
      </c>
      <c r="F200" s="1">
        <f>Table1[[#This Row],[taxable wages]]+interest+dividends+short_term_capital_gains+long_term_capital_gains-(trad_ira_contributions+MIN(student_loan_interest_cap,student_loan_interest))</f>
        <v>81500</v>
      </c>
      <c r="G200" s="1">
        <f t="shared" si="18"/>
        <v>12600</v>
      </c>
      <c r="H200" s="1">
        <f t="shared" si="19"/>
        <v>28350</v>
      </c>
      <c r="I200" s="1">
        <f>MAX(0,Table1[[#This Row],[Agi]]-Table1[[#This Row],[Exemptions]]-Table1[[#This Row],[Effective Deductions]])</f>
        <v>40550</v>
      </c>
      <c r="J2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5155</v>
      </c>
      <c r="K200" s="1">
        <f t="shared" si="20"/>
        <v>5000</v>
      </c>
      <c r="L200" s="1">
        <f>IF(Table1[[#This Row],[Agi]]&gt;ctc_phase_out_begins,ctc_phase_out_rate*(Table1[[#This Row],[Agi]]-ctc_phase_out_begins),0)</f>
        <v>0</v>
      </c>
      <c r="M200" s="1">
        <f>MAX(Table1[[#This Row],[Child Tax Credit]]-Table1[[#This Row],[Child Tax Credit Phase Out]],0)</f>
        <v>5000</v>
      </c>
      <c r="N200" s="1">
        <f>MAX(Table1[[#This Row],[Regular Taxes Owed]]-Table1[[#This Row],[Effective Child Tax Credit]],0)</f>
        <v>155</v>
      </c>
      <c r="O200" s="1">
        <f>MAX(MIN((Table1[[#This Row],[taxable wages]]-3000)*0.15,1000*num_kids_16_younger),0)</f>
        <v>5000</v>
      </c>
      <c r="P200" s="9">
        <f>IF(Table1[[#This Row],[Effective Child Tax Credit]]&gt;Table1[[#This Row],[Regular Taxes Owed]],Table1[[#This Row],[Additional Child Tax Credit ]]-Table1[[#This Row],[Regular Taxes Owed]],0)</f>
        <v>0</v>
      </c>
      <c r="Q2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0" s="1">
        <f>Table1[[#This Row],[Effective Additional Child Tax Credit]]+Table1[[#This Row],[Eitc]]</f>
        <v>0</v>
      </c>
      <c r="S200" s="9">
        <f>Table1[[#This Row],[Regular Taxes Owed - Effective Child Tax Credit]]-Table1[[#This Row],[Total Credits]]</f>
        <v>155</v>
      </c>
      <c r="T200" s="9">
        <f>Table1[[#This Row],[taxable wages]]+interest+dividends+short_term_capital_gains+long_term_capital_gains-(charitable_donations+mortgage_interest)</f>
        <v>81500</v>
      </c>
      <c r="U200" s="9">
        <f>MAX(amt_exemption-amt_exemption_phase_out_rate*MAX(Table1[[#This Row],[taxable wages]]-amt_phase_out_begins,0),0)</f>
        <v>83800</v>
      </c>
      <c r="V2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200" s="1">
        <f>IF(AND(Table1[[#This Row],[AMT Taxes]]&gt;Table1[[#This Row],[Regular Taxes Owed]],Table1[[#This Row],[AMT Taxes]]&gt;0),Table1[[#This Row],[AMT Taxes]]-Table1[[#This Row],[Regular Taxes Owed]],0)</f>
        <v>0</v>
      </c>
      <c r="X200" s="9">
        <f>Table1[[#This Row],[Extra Taxes From Amt]]+Table1[[#This Row],[Federal Taxes Owed (No AMT)]]</f>
        <v>155</v>
      </c>
      <c r="Y200" s="9">
        <f>IF(Table1[[#This Row],[taxable wages]]&gt;obamacare_surcharge_amount,obamacare_surcharge_percent*(Table1[[#This Row],[taxable wages]]-obamacare_surcharge_amount),0)</f>
        <v>0</v>
      </c>
      <c r="Z200" s="9">
        <f>Table1[[#This Row],[Federal Taxes Owed (Includes AMT)]]+Table1[[#This Row],[Obamacare surcharge premium]]</f>
        <v>155</v>
      </c>
      <c r="AA200" s="9">
        <f>Table1[[#This Row],[taxable wages]]-Table1[[#This Row],[Federal Taxes Owed2]]</f>
        <v>81345</v>
      </c>
      <c r="AB200" s="51">
        <f t="shared" si="21"/>
        <v>0.15</v>
      </c>
      <c r="AC200" s="41"/>
      <c r="AD200" s="4"/>
      <c r="AE200" s="13"/>
    </row>
    <row r="201" spans="2:31" x14ac:dyDescent="0.3">
      <c r="B201" s="41">
        <f t="shared" si="22"/>
        <v>82000</v>
      </c>
      <c r="C201" s="1">
        <f>Table1[[#This Row],[taxable wages]]</f>
        <v>82000</v>
      </c>
      <c r="D201" s="1">
        <f>Table1[[#This Row],[taxable wages]]+interest+dividends+short_term_capital_gains+long_term_capital_gains</f>
        <v>82000</v>
      </c>
      <c r="E201" s="1">
        <f>MAX(Table1[[#This Row],[earned income for EITC]:[Agi For Eitc Calc]])</f>
        <v>82000</v>
      </c>
      <c r="F201" s="1">
        <f>Table1[[#This Row],[taxable wages]]+interest+dividends+short_term_capital_gains+long_term_capital_gains-(trad_ira_contributions+MIN(student_loan_interest_cap,student_loan_interest))</f>
        <v>82000</v>
      </c>
      <c r="G201" s="1">
        <f t="shared" si="18"/>
        <v>12600</v>
      </c>
      <c r="H201" s="1">
        <f t="shared" si="19"/>
        <v>28350</v>
      </c>
      <c r="I201" s="1">
        <f>MAX(0,Table1[[#This Row],[Agi]]-Table1[[#This Row],[Exemptions]]-Table1[[#This Row],[Effective Deductions]])</f>
        <v>41050</v>
      </c>
      <c r="J2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5230</v>
      </c>
      <c r="K201" s="1">
        <f t="shared" si="20"/>
        <v>5000</v>
      </c>
      <c r="L201" s="1">
        <f>IF(Table1[[#This Row],[Agi]]&gt;ctc_phase_out_begins,ctc_phase_out_rate*(Table1[[#This Row],[Agi]]-ctc_phase_out_begins),0)</f>
        <v>0</v>
      </c>
      <c r="M201" s="1">
        <f>MAX(Table1[[#This Row],[Child Tax Credit]]-Table1[[#This Row],[Child Tax Credit Phase Out]],0)</f>
        <v>5000</v>
      </c>
      <c r="N201" s="1">
        <f>MAX(Table1[[#This Row],[Regular Taxes Owed]]-Table1[[#This Row],[Effective Child Tax Credit]],0)</f>
        <v>230</v>
      </c>
      <c r="O201" s="1">
        <f>MAX(MIN((Table1[[#This Row],[taxable wages]]-3000)*0.15,1000*num_kids_16_younger),0)</f>
        <v>5000</v>
      </c>
      <c r="P201" s="9">
        <f>IF(Table1[[#This Row],[Effective Child Tax Credit]]&gt;Table1[[#This Row],[Regular Taxes Owed]],Table1[[#This Row],[Additional Child Tax Credit ]]-Table1[[#This Row],[Regular Taxes Owed]],0)</f>
        <v>0</v>
      </c>
      <c r="Q2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1" s="1">
        <f>Table1[[#This Row],[Effective Additional Child Tax Credit]]+Table1[[#This Row],[Eitc]]</f>
        <v>0</v>
      </c>
      <c r="S201" s="9">
        <f>Table1[[#This Row],[Regular Taxes Owed - Effective Child Tax Credit]]-Table1[[#This Row],[Total Credits]]</f>
        <v>230</v>
      </c>
      <c r="T201" s="9">
        <f>Table1[[#This Row],[taxable wages]]+interest+dividends+short_term_capital_gains+long_term_capital_gains-(charitable_donations+mortgage_interest)</f>
        <v>82000</v>
      </c>
      <c r="U201" s="9">
        <f>MAX(amt_exemption-amt_exemption_phase_out_rate*MAX(Table1[[#This Row],[taxable wages]]-amt_phase_out_begins,0),0)</f>
        <v>83800</v>
      </c>
      <c r="V2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201" s="1">
        <f>IF(AND(Table1[[#This Row],[AMT Taxes]]&gt;Table1[[#This Row],[Regular Taxes Owed]],Table1[[#This Row],[AMT Taxes]]&gt;0),Table1[[#This Row],[AMT Taxes]]-Table1[[#This Row],[Regular Taxes Owed]],0)</f>
        <v>0</v>
      </c>
      <c r="X201" s="9">
        <f>Table1[[#This Row],[Extra Taxes From Amt]]+Table1[[#This Row],[Federal Taxes Owed (No AMT)]]</f>
        <v>230</v>
      </c>
      <c r="Y201" s="9">
        <f>IF(Table1[[#This Row],[taxable wages]]&gt;obamacare_surcharge_amount,obamacare_surcharge_percent*(Table1[[#This Row],[taxable wages]]-obamacare_surcharge_amount),0)</f>
        <v>0</v>
      </c>
      <c r="Z201" s="9">
        <f>Table1[[#This Row],[Federal Taxes Owed (Includes AMT)]]+Table1[[#This Row],[Obamacare surcharge premium]]</f>
        <v>230</v>
      </c>
      <c r="AA201" s="9">
        <f>Table1[[#This Row],[taxable wages]]-Table1[[#This Row],[Federal Taxes Owed2]]</f>
        <v>81770</v>
      </c>
      <c r="AB201" s="51">
        <f t="shared" si="21"/>
        <v>0.15</v>
      </c>
      <c r="AC201" s="41"/>
      <c r="AD201" s="4"/>
      <c r="AE201" s="13"/>
    </row>
    <row r="202" spans="2:31" x14ac:dyDescent="0.3">
      <c r="B202" s="41">
        <f t="shared" si="22"/>
        <v>82500</v>
      </c>
      <c r="C202" s="1">
        <f>Table1[[#This Row],[taxable wages]]</f>
        <v>82500</v>
      </c>
      <c r="D202" s="1">
        <f>Table1[[#This Row],[taxable wages]]+interest+dividends+short_term_capital_gains+long_term_capital_gains</f>
        <v>82500</v>
      </c>
      <c r="E202" s="1">
        <f>MAX(Table1[[#This Row],[earned income for EITC]:[Agi For Eitc Calc]])</f>
        <v>82500</v>
      </c>
      <c r="F202" s="1">
        <f>Table1[[#This Row],[taxable wages]]+interest+dividends+short_term_capital_gains+long_term_capital_gains-(trad_ira_contributions+MIN(student_loan_interest_cap,student_loan_interest))</f>
        <v>82500</v>
      </c>
      <c r="G202" s="1">
        <f t="shared" si="18"/>
        <v>12600</v>
      </c>
      <c r="H202" s="1">
        <f t="shared" si="19"/>
        <v>28350</v>
      </c>
      <c r="I202" s="1">
        <f>MAX(0,Table1[[#This Row],[Agi]]-Table1[[#This Row],[Exemptions]]-Table1[[#This Row],[Effective Deductions]])</f>
        <v>41550</v>
      </c>
      <c r="J2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5305</v>
      </c>
      <c r="K202" s="1">
        <f t="shared" si="20"/>
        <v>5000</v>
      </c>
      <c r="L202" s="1">
        <f>IF(Table1[[#This Row],[Agi]]&gt;ctc_phase_out_begins,ctc_phase_out_rate*(Table1[[#This Row],[Agi]]-ctc_phase_out_begins),0)</f>
        <v>0</v>
      </c>
      <c r="M202" s="1">
        <f>MAX(Table1[[#This Row],[Child Tax Credit]]-Table1[[#This Row],[Child Tax Credit Phase Out]],0)</f>
        <v>5000</v>
      </c>
      <c r="N202" s="1">
        <f>MAX(Table1[[#This Row],[Regular Taxes Owed]]-Table1[[#This Row],[Effective Child Tax Credit]],0)</f>
        <v>305</v>
      </c>
      <c r="O202" s="1">
        <f>MAX(MIN((Table1[[#This Row],[taxable wages]]-3000)*0.15,1000*num_kids_16_younger),0)</f>
        <v>5000</v>
      </c>
      <c r="P202" s="9">
        <f>IF(Table1[[#This Row],[Effective Child Tax Credit]]&gt;Table1[[#This Row],[Regular Taxes Owed]],Table1[[#This Row],[Additional Child Tax Credit ]]-Table1[[#This Row],[Regular Taxes Owed]],0)</f>
        <v>0</v>
      </c>
      <c r="Q2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2" s="1">
        <f>Table1[[#This Row],[Effective Additional Child Tax Credit]]+Table1[[#This Row],[Eitc]]</f>
        <v>0</v>
      </c>
      <c r="S202" s="9">
        <f>Table1[[#This Row],[Regular Taxes Owed - Effective Child Tax Credit]]-Table1[[#This Row],[Total Credits]]</f>
        <v>305</v>
      </c>
      <c r="T202" s="9">
        <f>Table1[[#This Row],[taxable wages]]+interest+dividends+short_term_capital_gains+long_term_capital_gains-(charitable_donations+mortgage_interest)</f>
        <v>82500</v>
      </c>
      <c r="U202" s="9">
        <f>MAX(amt_exemption-amt_exemption_phase_out_rate*MAX(Table1[[#This Row],[taxable wages]]-amt_phase_out_begins,0),0)</f>
        <v>83800</v>
      </c>
      <c r="V2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202" s="1">
        <f>IF(AND(Table1[[#This Row],[AMT Taxes]]&gt;Table1[[#This Row],[Regular Taxes Owed]],Table1[[#This Row],[AMT Taxes]]&gt;0),Table1[[#This Row],[AMT Taxes]]-Table1[[#This Row],[Regular Taxes Owed]],0)</f>
        <v>0</v>
      </c>
      <c r="X202" s="9">
        <f>Table1[[#This Row],[Extra Taxes From Amt]]+Table1[[#This Row],[Federal Taxes Owed (No AMT)]]</f>
        <v>305</v>
      </c>
      <c r="Y202" s="9">
        <f>IF(Table1[[#This Row],[taxable wages]]&gt;obamacare_surcharge_amount,obamacare_surcharge_percent*(Table1[[#This Row],[taxable wages]]-obamacare_surcharge_amount),0)</f>
        <v>0</v>
      </c>
      <c r="Z202" s="9">
        <f>Table1[[#This Row],[Federal Taxes Owed (Includes AMT)]]+Table1[[#This Row],[Obamacare surcharge premium]]</f>
        <v>305</v>
      </c>
      <c r="AA202" s="9">
        <f>Table1[[#This Row],[taxable wages]]-Table1[[#This Row],[Federal Taxes Owed2]]</f>
        <v>82195</v>
      </c>
      <c r="AB202" s="51">
        <f t="shared" si="21"/>
        <v>0.15</v>
      </c>
      <c r="AC202" s="41"/>
      <c r="AD202" s="4"/>
      <c r="AE202" s="13"/>
    </row>
    <row r="203" spans="2:31" x14ac:dyDescent="0.3">
      <c r="B203" s="41">
        <f t="shared" si="22"/>
        <v>83000</v>
      </c>
      <c r="C203" s="1">
        <f>Table1[[#This Row],[taxable wages]]</f>
        <v>83000</v>
      </c>
      <c r="D203" s="1">
        <f>Table1[[#This Row],[taxable wages]]+interest+dividends+short_term_capital_gains+long_term_capital_gains</f>
        <v>83000</v>
      </c>
      <c r="E203" s="1">
        <f>MAX(Table1[[#This Row],[earned income for EITC]:[Agi For Eitc Calc]])</f>
        <v>83000</v>
      </c>
      <c r="F203" s="1">
        <f>Table1[[#This Row],[taxable wages]]+interest+dividends+short_term_capital_gains+long_term_capital_gains-(trad_ira_contributions+MIN(student_loan_interest_cap,student_loan_interest))</f>
        <v>83000</v>
      </c>
      <c r="G203" s="1">
        <f t="shared" si="18"/>
        <v>12600</v>
      </c>
      <c r="H203" s="1">
        <f t="shared" si="19"/>
        <v>28350</v>
      </c>
      <c r="I203" s="1">
        <f>MAX(0,Table1[[#This Row],[Agi]]-Table1[[#This Row],[Exemptions]]-Table1[[#This Row],[Effective Deductions]])</f>
        <v>42050</v>
      </c>
      <c r="J2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5380</v>
      </c>
      <c r="K203" s="1">
        <f t="shared" si="20"/>
        <v>5000</v>
      </c>
      <c r="L203" s="1">
        <f>IF(Table1[[#This Row],[Agi]]&gt;ctc_phase_out_begins,ctc_phase_out_rate*(Table1[[#This Row],[Agi]]-ctc_phase_out_begins),0)</f>
        <v>0</v>
      </c>
      <c r="M203" s="1">
        <f>MAX(Table1[[#This Row],[Child Tax Credit]]-Table1[[#This Row],[Child Tax Credit Phase Out]],0)</f>
        <v>5000</v>
      </c>
      <c r="N203" s="1">
        <f>MAX(Table1[[#This Row],[Regular Taxes Owed]]-Table1[[#This Row],[Effective Child Tax Credit]],0)</f>
        <v>380</v>
      </c>
      <c r="O203" s="1">
        <f>MAX(MIN((Table1[[#This Row],[taxable wages]]-3000)*0.15,1000*num_kids_16_younger),0)</f>
        <v>5000</v>
      </c>
      <c r="P203" s="9">
        <f>IF(Table1[[#This Row],[Effective Child Tax Credit]]&gt;Table1[[#This Row],[Regular Taxes Owed]],Table1[[#This Row],[Additional Child Tax Credit ]]-Table1[[#This Row],[Regular Taxes Owed]],0)</f>
        <v>0</v>
      </c>
      <c r="Q2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3" s="1">
        <f>Table1[[#This Row],[Effective Additional Child Tax Credit]]+Table1[[#This Row],[Eitc]]</f>
        <v>0</v>
      </c>
      <c r="S203" s="9">
        <f>Table1[[#This Row],[Regular Taxes Owed - Effective Child Tax Credit]]-Table1[[#This Row],[Total Credits]]</f>
        <v>380</v>
      </c>
      <c r="T203" s="9">
        <f>Table1[[#This Row],[taxable wages]]+interest+dividends+short_term_capital_gains+long_term_capital_gains-(charitable_donations+mortgage_interest)</f>
        <v>83000</v>
      </c>
      <c r="U203" s="9">
        <f>MAX(amt_exemption-amt_exemption_phase_out_rate*MAX(Table1[[#This Row],[taxable wages]]-amt_phase_out_begins,0),0)</f>
        <v>83800</v>
      </c>
      <c r="V2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203" s="1">
        <f>IF(AND(Table1[[#This Row],[AMT Taxes]]&gt;Table1[[#This Row],[Regular Taxes Owed]],Table1[[#This Row],[AMT Taxes]]&gt;0),Table1[[#This Row],[AMT Taxes]]-Table1[[#This Row],[Regular Taxes Owed]],0)</f>
        <v>0</v>
      </c>
      <c r="X203" s="9">
        <f>Table1[[#This Row],[Extra Taxes From Amt]]+Table1[[#This Row],[Federal Taxes Owed (No AMT)]]</f>
        <v>380</v>
      </c>
      <c r="Y203" s="9">
        <f>IF(Table1[[#This Row],[taxable wages]]&gt;obamacare_surcharge_amount,obamacare_surcharge_percent*(Table1[[#This Row],[taxable wages]]-obamacare_surcharge_amount),0)</f>
        <v>0</v>
      </c>
      <c r="Z203" s="9">
        <f>Table1[[#This Row],[Federal Taxes Owed (Includes AMT)]]+Table1[[#This Row],[Obamacare surcharge premium]]</f>
        <v>380</v>
      </c>
      <c r="AA203" s="9">
        <f>Table1[[#This Row],[taxable wages]]-Table1[[#This Row],[Federal Taxes Owed2]]</f>
        <v>82620</v>
      </c>
      <c r="AB203" s="51">
        <f t="shared" si="21"/>
        <v>0.15</v>
      </c>
      <c r="AC203" s="41"/>
      <c r="AD203" s="4"/>
      <c r="AE203" s="13"/>
    </row>
    <row r="204" spans="2:31" x14ac:dyDescent="0.3">
      <c r="B204" s="41">
        <f t="shared" si="22"/>
        <v>83500</v>
      </c>
      <c r="C204" s="1">
        <f>Table1[[#This Row],[taxable wages]]</f>
        <v>83500</v>
      </c>
      <c r="D204" s="1">
        <f>Table1[[#This Row],[taxable wages]]+interest+dividends+short_term_capital_gains+long_term_capital_gains</f>
        <v>83500</v>
      </c>
      <c r="E204" s="1">
        <f>MAX(Table1[[#This Row],[earned income for EITC]:[Agi For Eitc Calc]])</f>
        <v>83500</v>
      </c>
      <c r="F204" s="1">
        <f>Table1[[#This Row],[taxable wages]]+interest+dividends+short_term_capital_gains+long_term_capital_gains-(trad_ira_contributions+MIN(student_loan_interest_cap,student_loan_interest))</f>
        <v>83500</v>
      </c>
      <c r="G204" s="1">
        <f t="shared" si="18"/>
        <v>12600</v>
      </c>
      <c r="H204" s="1">
        <f t="shared" si="19"/>
        <v>28350</v>
      </c>
      <c r="I204" s="1">
        <f>MAX(0,Table1[[#This Row],[Agi]]-Table1[[#This Row],[Exemptions]]-Table1[[#This Row],[Effective Deductions]])</f>
        <v>42550</v>
      </c>
      <c r="J2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5455</v>
      </c>
      <c r="K204" s="1">
        <f t="shared" si="20"/>
        <v>5000</v>
      </c>
      <c r="L204" s="1">
        <f>IF(Table1[[#This Row],[Agi]]&gt;ctc_phase_out_begins,ctc_phase_out_rate*(Table1[[#This Row],[Agi]]-ctc_phase_out_begins),0)</f>
        <v>0</v>
      </c>
      <c r="M204" s="1">
        <f>MAX(Table1[[#This Row],[Child Tax Credit]]-Table1[[#This Row],[Child Tax Credit Phase Out]],0)</f>
        <v>5000</v>
      </c>
      <c r="N204" s="1">
        <f>MAX(Table1[[#This Row],[Regular Taxes Owed]]-Table1[[#This Row],[Effective Child Tax Credit]],0)</f>
        <v>455</v>
      </c>
      <c r="O204" s="1">
        <f>MAX(MIN((Table1[[#This Row],[taxable wages]]-3000)*0.15,1000*num_kids_16_younger),0)</f>
        <v>5000</v>
      </c>
      <c r="P204" s="9">
        <f>IF(Table1[[#This Row],[Effective Child Tax Credit]]&gt;Table1[[#This Row],[Regular Taxes Owed]],Table1[[#This Row],[Additional Child Tax Credit ]]-Table1[[#This Row],[Regular Taxes Owed]],0)</f>
        <v>0</v>
      </c>
      <c r="Q2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4" s="1">
        <f>Table1[[#This Row],[Effective Additional Child Tax Credit]]+Table1[[#This Row],[Eitc]]</f>
        <v>0</v>
      </c>
      <c r="S204" s="9">
        <f>Table1[[#This Row],[Regular Taxes Owed - Effective Child Tax Credit]]-Table1[[#This Row],[Total Credits]]</f>
        <v>455</v>
      </c>
      <c r="T204" s="9">
        <f>Table1[[#This Row],[taxable wages]]+interest+dividends+short_term_capital_gains+long_term_capital_gains-(charitable_donations+mortgage_interest)</f>
        <v>83500</v>
      </c>
      <c r="U204" s="9">
        <f>MAX(amt_exemption-amt_exemption_phase_out_rate*MAX(Table1[[#This Row],[taxable wages]]-amt_phase_out_begins,0),0)</f>
        <v>83800</v>
      </c>
      <c r="V2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0</v>
      </c>
      <c r="W204" s="1">
        <f>IF(AND(Table1[[#This Row],[AMT Taxes]]&gt;Table1[[#This Row],[Regular Taxes Owed]],Table1[[#This Row],[AMT Taxes]]&gt;0),Table1[[#This Row],[AMT Taxes]]-Table1[[#This Row],[Regular Taxes Owed]],0)</f>
        <v>0</v>
      </c>
      <c r="X204" s="9">
        <f>Table1[[#This Row],[Extra Taxes From Amt]]+Table1[[#This Row],[Federal Taxes Owed (No AMT)]]</f>
        <v>455</v>
      </c>
      <c r="Y204" s="9">
        <f>IF(Table1[[#This Row],[taxable wages]]&gt;obamacare_surcharge_amount,obamacare_surcharge_percent*(Table1[[#This Row],[taxable wages]]-obamacare_surcharge_amount),0)</f>
        <v>0</v>
      </c>
      <c r="Z204" s="9">
        <f>Table1[[#This Row],[Federal Taxes Owed (Includes AMT)]]+Table1[[#This Row],[Obamacare surcharge premium]]</f>
        <v>455</v>
      </c>
      <c r="AA204" s="9">
        <f>Table1[[#This Row],[taxable wages]]-Table1[[#This Row],[Federal Taxes Owed2]]</f>
        <v>83045</v>
      </c>
      <c r="AB204" s="51">
        <f t="shared" si="21"/>
        <v>0.15</v>
      </c>
      <c r="AC204" s="41"/>
      <c r="AD204" s="4"/>
      <c r="AE204" s="13"/>
    </row>
    <row r="205" spans="2:31" x14ac:dyDescent="0.3">
      <c r="B205" s="41">
        <f t="shared" si="22"/>
        <v>84000</v>
      </c>
      <c r="C205" s="1">
        <f>Table1[[#This Row],[taxable wages]]</f>
        <v>84000</v>
      </c>
      <c r="D205" s="1">
        <f>Table1[[#This Row],[taxable wages]]+interest+dividends+short_term_capital_gains+long_term_capital_gains</f>
        <v>84000</v>
      </c>
      <c r="E205" s="1">
        <f>MAX(Table1[[#This Row],[earned income for EITC]:[Agi For Eitc Calc]])</f>
        <v>84000</v>
      </c>
      <c r="F205" s="1">
        <f>Table1[[#This Row],[taxable wages]]+interest+dividends+short_term_capital_gains+long_term_capital_gains-(trad_ira_contributions+MIN(student_loan_interest_cap,student_loan_interest))</f>
        <v>84000</v>
      </c>
      <c r="G205" s="1">
        <f t="shared" si="18"/>
        <v>12600</v>
      </c>
      <c r="H205" s="1">
        <f t="shared" si="19"/>
        <v>28350</v>
      </c>
      <c r="I205" s="1">
        <f>MAX(0,Table1[[#This Row],[Agi]]-Table1[[#This Row],[Exemptions]]-Table1[[#This Row],[Effective Deductions]])</f>
        <v>43050</v>
      </c>
      <c r="J2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5530</v>
      </c>
      <c r="K205" s="1">
        <f t="shared" si="20"/>
        <v>5000</v>
      </c>
      <c r="L205" s="1">
        <f>IF(Table1[[#This Row],[Agi]]&gt;ctc_phase_out_begins,ctc_phase_out_rate*(Table1[[#This Row],[Agi]]-ctc_phase_out_begins),0)</f>
        <v>0</v>
      </c>
      <c r="M205" s="1">
        <f>MAX(Table1[[#This Row],[Child Tax Credit]]-Table1[[#This Row],[Child Tax Credit Phase Out]],0)</f>
        <v>5000</v>
      </c>
      <c r="N205" s="1">
        <f>MAX(Table1[[#This Row],[Regular Taxes Owed]]-Table1[[#This Row],[Effective Child Tax Credit]],0)</f>
        <v>530</v>
      </c>
      <c r="O205" s="1">
        <f>MAX(MIN((Table1[[#This Row],[taxable wages]]-3000)*0.15,1000*num_kids_16_younger),0)</f>
        <v>5000</v>
      </c>
      <c r="P205" s="9">
        <f>IF(Table1[[#This Row],[Effective Child Tax Credit]]&gt;Table1[[#This Row],[Regular Taxes Owed]],Table1[[#This Row],[Additional Child Tax Credit ]]-Table1[[#This Row],[Regular Taxes Owed]],0)</f>
        <v>0</v>
      </c>
      <c r="Q2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5" s="1">
        <f>Table1[[#This Row],[Effective Additional Child Tax Credit]]+Table1[[#This Row],[Eitc]]</f>
        <v>0</v>
      </c>
      <c r="S205" s="9">
        <f>Table1[[#This Row],[Regular Taxes Owed - Effective Child Tax Credit]]-Table1[[#This Row],[Total Credits]]</f>
        <v>530</v>
      </c>
      <c r="T205" s="9">
        <f>Table1[[#This Row],[taxable wages]]+interest+dividends+short_term_capital_gains+long_term_capital_gains-(charitable_donations+mortgage_interest)</f>
        <v>84000</v>
      </c>
      <c r="U205" s="9">
        <f>MAX(amt_exemption-amt_exemption_phase_out_rate*MAX(Table1[[#This Row],[taxable wages]]-amt_phase_out_begins,0),0)</f>
        <v>83800</v>
      </c>
      <c r="V2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</v>
      </c>
      <c r="W205" s="1">
        <f>IF(AND(Table1[[#This Row],[AMT Taxes]]&gt;Table1[[#This Row],[Regular Taxes Owed]],Table1[[#This Row],[AMT Taxes]]&gt;0),Table1[[#This Row],[AMT Taxes]]-Table1[[#This Row],[Regular Taxes Owed]],0)</f>
        <v>0</v>
      </c>
      <c r="X205" s="9">
        <f>Table1[[#This Row],[Extra Taxes From Amt]]+Table1[[#This Row],[Federal Taxes Owed (No AMT)]]</f>
        <v>530</v>
      </c>
      <c r="Y205" s="9">
        <f>IF(Table1[[#This Row],[taxable wages]]&gt;obamacare_surcharge_amount,obamacare_surcharge_percent*(Table1[[#This Row],[taxable wages]]-obamacare_surcharge_amount),0)</f>
        <v>0</v>
      </c>
      <c r="Z205" s="9">
        <f>Table1[[#This Row],[Federal Taxes Owed (Includes AMT)]]+Table1[[#This Row],[Obamacare surcharge premium]]</f>
        <v>530</v>
      </c>
      <c r="AA205" s="9">
        <f>Table1[[#This Row],[taxable wages]]-Table1[[#This Row],[Federal Taxes Owed2]]</f>
        <v>83470</v>
      </c>
      <c r="AB205" s="51">
        <f t="shared" si="21"/>
        <v>0.15</v>
      </c>
      <c r="AC205" s="41"/>
      <c r="AD205" s="4"/>
      <c r="AE205" s="13"/>
    </row>
    <row r="206" spans="2:31" x14ac:dyDescent="0.3">
      <c r="B206" s="41">
        <f t="shared" si="22"/>
        <v>84500</v>
      </c>
      <c r="C206" s="1">
        <f>Table1[[#This Row],[taxable wages]]</f>
        <v>84500</v>
      </c>
      <c r="D206" s="1">
        <f>Table1[[#This Row],[taxable wages]]+interest+dividends+short_term_capital_gains+long_term_capital_gains</f>
        <v>84500</v>
      </c>
      <c r="E206" s="1">
        <f>MAX(Table1[[#This Row],[earned income for EITC]:[Agi For Eitc Calc]])</f>
        <v>84500</v>
      </c>
      <c r="F206" s="1">
        <f>Table1[[#This Row],[taxable wages]]+interest+dividends+short_term_capital_gains+long_term_capital_gains-(trad_ira_contributions+MIN(student_loan_interest_cap,student_loan_interest))</f>
        <v>84500</v>
      </c>
      <c r="G206" s="1">
        <f t="shared" si="18"/>
        <v>12600</v>
      </c>
      <c r="H206" s="1">
        <f t="shared" si="19"/>
        <v>28350</v>
      </c>
      <c r="I206" s="1">
        <f>MAX(0,Table1[[#This Row],[Agi]]-Table1[[#This Row],[Exemptions]]-Table1[[#This Row],[Effective Deductions]])</f>
        <v>43550</v>
      </c>
      <c r="J2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5605</v>
      </c>
      <c r="K206" s="1">
        <f t="shared" si="20"/>
        <v>5000</v>
      </c>
      <c r="L206" s="1">
        <f>IF(Table1[[#This Row],[Agi]]&gt;ctc_phase_out_begins,ctc_phase_out_rate*(Table1[[#This Row],[Agi]]-ctc_phase_out_begins),0)</f>
        <v>0</v>
      </c>
      <c r="M206" s="1">
        <f>MAX(Table1[[#This Row],[Child Tax Credit]]-Table1[[#This Row],[Child Tax Credit Phase Out]],0)</f>
        <v>5000</v>
      </c>
      <c r="N206" s="1">
        <f>MAX(Table1[[#This Row],[Regular Taxes Owed]]-Table1[[#This Row],[Effective Child Tax Credit]],0)</f>
        <v>605</v>
      </c>
      <c r="O206" s="1">
        <f>MAX(MIN((Table1[[#This Row],[taxable wages]]-3000)*0.15,1000*num_kids_16_younger),0)</f>
        <v>5000</v>
      </c>
      <c r="P206" s="9">
        <f>IF(Table1[[#This Row],[Effective Child Tax Credit]]&gt;Table1[[#This Row],[Regular Taxes Owed]],Table1[[#This Row],[Additional Child Tax Credit ]]-Table1[[#This Row],[Regular Taxes Owed]],0)</f>
        <v>0</v>
      </c>
      <c r="Q2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6" s="1">
        <f>Table1[[#This Row],[Effective Additional Child Tax Credit]]+Table1[[#This Row],[Eitc]]</f>
        <v>0</v>
      </c>
      <c r="S206" s="9">
        <f>Table1[[#This Row],[Regular Taxes Owed - Effective Child Tax Credit]]-Table1[[#This Row],[Total Credits]]</f>
        <v>605</v>
      </c>
      <c r="T206" s="9">
        <f>Table1[[#This Row],[taxable wages]]+interest+dividends+short_term_capital_gains+long_term_capital_gains-(charitable_donations+mortgage_interest)</f>
        <v>84500</v>
      </c>
      <c r="U206" s="9">
        <f>MAX(amt_exemption-amt_exemption_phase_out_rate*MAX(Table1[[#This Row],[taxable wages]]-amt_phase_out_begins,0),0)</f>
        <v>83800</v>
      </c>
      <c r="V2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182</v>
      </c>
      <c r="W206" s="1">
        <f>IF(AND(Table1[[#This Row],[AMT Taxes]]&gt;Table1[[#This Row],[Regular Taxes Owed]],Table1[[#This Row],[AMT Taxes]]&gt;0),Table1[[#This Row],[AMT Taxes]]-Table1[[#This Row],[Regular Taxes Owed]],0)</f>
        <v>0</v>
      </c>
      <c r="X206" s="9">
        <f>Table1[[#This Row],[Extra Taxes From Amt]]+Table1[[#This Row],[Federal Taxes Owed (No AMT)]]</f>
        <v>605</v>
      </c>
      <c r="Y206" s="9">
        <f>IF(Table1[[#This Row],[taxable wages]]&gt;obamacare_surcharge_amount,obamacare_surcharge_percent*(Table1[[#This Row],[taxable wages]]-obamacare_surcharge_amount),0)</f>
        <v>0</v>
      </c>
      <c r="Z206" s="9">
        <f>Table1[[#This Row],[Federal Taxes Owed (Includes AMT)]]+Table1[[#This Row],[Obamacare surcharge premium]]</f>
        <v>605</v>
      </c>
      <c r="AA206" s="9">
        <f>Table1[[#This Row],[taxable wages]]-Table1[[#This Row],[Federal Taxes Owed2]]</f>
        <v>83895</v>
      </c>
      <c r="AB206" s="51">
        <f t="shared" si="21"/>
        <v>0.15</v>
      </c>
      <c r="AC206" s="41"/>
      <c r="AD206" s="4"/>
      <c r="AE206" s="13"/>
    </row>
    <row r="207" spans="2:31" x14ac:dyDescent="0.3">
      <c r="B207" s="41">
        <f t="shared" si="22"/>
        <v>85000</v>
      </c>
      <c r="C207" s="1">
        <f>Table1[[#This Row],[taxable wages]]</f>
        <v>85000</v>
      </c>
      <c r="D207" s="1">
        <f>Table1[[#This Row],[taxable wages]]+interest+dividends+short_term_capital_gains+long_term_capital_gains</f>
        <v>85000</v>
      </c>
      <c r="E207" s="1">
        <f>MAX(Table1[[#This Row],[earned income for EITC]:[Agi For Eitc Calc]])</f>
        <v>85000</v>
      </c>
      <c r="F207" s="1">
        <f>Table1[[#This Row],[taxable wages]]+interest+dividends+short_term_capital_gains+long_term_capital_gains-(trad_ira_contributions+MIN(student_loan_interest_cap,student_loan_interest))</f>
        <v>85000</v>
      </c>
      <c r="G207" s="1">
        <f t="shared" si="18"/>
        <v>12600</v>
      </c>
      <c r="H207" s="1">
        <f t="shared" si="19"/>
        <v>28350</v>
      </c>
      <c r="I207" s="1">
        <f>MAX(0,Table1[[#This Row],[Agi]]-Table1[[#This Row],[Exemptions]]-Table1[[#This Row],[Effective Deductions]])</f>
        <v>44050</v>
      </c>
      <c r="J2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5680</v>
      </c>
      <c r="K207" s="1">
        <f t="shared" si="20"/>
        <v>5000</v>
      </c>
      <c r="L207" s="1">
        <f>IF(Table1[[#This Row],[Agi]]&gt;ctc_phase_out_begins,ctc_phase_out_rate*(Table1[[#This Row],[Agi]]-ctc_phase_out_begins),0)</f>
        <v>0</v>
      </c>
      <c r="M207" s="1">
        <f>MAX(Table1[[#This Row],[Child Tax Credit]]-Table1[[#This Row],[Child Tax Credit Phase Out]],0)</f>
        <v>5000</v>
      </c>
      <c r="N207" s="1">
        <f>MAX(Table1[[#This Row],[Regular Taxes Owed]]-Table1[[#This Row],[Effective Child Tax Credit]],0)</f>
        <v>680</v>
      </c>
      <c r="O207" s="1">
        <f>MAX(MIN((Table1[[#This Row],[taxable wages]]-3000)*0.15,1000*num_kids_16_younger),0)</f>
        <v>5000</v>
      </c>
      <c r="P207" s="9">
        <f>IF(Table1[[#This Row],[Effective Child Tax Credit]]&gt;Table1[[#This Row],[Regular Taxes Owed]],Table1[[#This Row],[Additional Child Tax Credit ]]-Table1[[#This Row],[Regular Taxes Owed]],0)</f>
        <v>0</v>
      </c>
      <c r="Q2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7" s="1">
        <f>Table1[[#This Row],[Effective Additional Child Tax Credit]]+Table1[[#This Row],[Eitc]]</f>
        <v>0</v>
      </c>
      <c r="S207" s="9">
        <f>Table1[[#This Row],[Regular Taxes Owed - Effective Child Tax Credit]]-Table1[[#This Row],[Total Credits]]</f>
        <v>680</v>
      </c>
      <c r="T207" s="9">
        <f>Table1[[#This Row],[taxable wages]]+interest+dividends+short_term_capital_gains+long_term_capital_gains-(charitable_donations+mortgage_interest)</f>
        <v>85000</v>
      </c>
      <c r="U207" s="9">
        <f>MAX(amt_exemption-amt_exemption_phase_out_rate*MAX(Table1[[#This Row],[taxable wages]]-amt_phase_out_begins,0),0)</f>
        <v>83800</v>
      </c>
      <c r="V2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312</v>
      </c>
      <c r="W207" s="1">
        <f>IF(AND(Table1[[#This Row],[AMT Taxes]]&gt;Table1[[#This Row],[Regular Taxes Owed]],Table1[[#This Row],[AMT Taxes]]&gt;0),Table1[[#This Row],[AMT Taxes]]-Table1[[#This Row],[Regular Taxes Owed]],0)</f>
        <v>0</v>
      </c>
      <c r="X207" s="9">
        <f>Table1[[#This Row],[Extra Taxes From Amt]]+Table1[[#This Row],[Federal Taxes Owed (No AMT)]]</f>
        <v>680</v>
      </c>
      <c r="Y207" s="9">
        <f>IF(Table1[[#This Row],[taxable wages]]&gt;obamacare_surcharge_amount,obamacare_surcharge_percent*(Table1[[#This Row],[taxable wages]]-obamacare_surcharge_amount),0)</f>
        <v>0</v>
      </c>
      <c r="Z207" s="9">
        <f>Table1[[#This Row],[Federal Taxes Owed (Includes AMT)]]+Table1[[#This Row],[Obamacare surcharge premium]]</f>
        <v>680</v>
      </c>
      <c r="AA207" s="9">
        <f>Table1[[#This Row],[taxable wages]]-Table1[[#This Row],[Federal Taxes Owed2]]</f>
        <v>84320</v>
      </c>
      <c r="AB207" s="51">
        <f t="shared" si="21"/>
        <v>0.15</v>
      </c>
      <c r="AC207" s="41"/>
      <c r="AD207" s="4"/>
      <c r="AE207" s="13"/>
    </row>
    <row r="208" spans="2:31" x14ac:dyDescent="0.3">
      <c r="B208" s="41">
        <f t="shared" si="22"/>
        <v>85500</v>
      </c>
      <c r="C208" s="1">
        <f>Table1[[#This Row],[taxable wages]]</f>
        <v>85500</v>
      </c>
      <c r="D208" s="1">
        <f>Table1[[#This Row],[taxable wages]]+interest+dividends+short_term_capital_gains+long_term_capital_gains</f>
        <v>85500</v>
      </c>
      <c r="E208" s="1">
        <f>MAX(Table1[[#This Row],[earned income for EITC]:[Agi For Eitc Calc]])</f>
        <v>85500</v>
      </c>
      <c r="F208" s="1">
        <f>Table1[[#This Row],[taxable wages]]+interest+dividends+short_term_capital_gains+long_term_capital_gains-(trad_ira_contributions+MIN(student_loan_interest_cap,student_loan_interest))</f>
        <v>85500</v>
      </c>
      <c r="G208" s="1">
        <f t="shared" si="18"/>
        <v>12600</v>
      </c>
      <c r="H208" s="1">
        <f t="shared" si="19"/>
        <v>28350</v>
      </c>
      <c r="I208" s="1">
        <f>MAX(0,Table1[[#This Row],[Agi]]-Table1[[#This Row],[Exemptions]]-Table1[[#This Row],[Effective Deductions]])</f>
        <v>44550</v>
      </c>
      <c r="J2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5755</v>
      </c>
      <c r="K208" s="1">
        <f t="shared" si="20"/>
        <v>5000</v>
      </c>
      <c r="L208" s="1">
        <f>IF(Table1[[#This Row],[Agi]]&gt;ctc_phase_out_begins,ctc_phase_out_rate*(Table1[[#This Row],[Agi]]-ctc_phase_out_begins),0)</f>
        <v>0</v>
      </c>
      <c r="M208" s="1">
        <f>MAX(Table1[[#This Row],[Child Tax Credit]]-Table1[[#This Row],[Child Tax Credit Phase Out]],0)</f>
        <v>5000</v>
      </c>
      <c r="N208" s="1">
        <f>MAX(Table1[[#This Row],[Regular Taxes Owed]]-Table1[[#This Row],[Effective Child Tax Credit]],0)</f>
        <v>755</v>
      </c>
      <c r="O208" s="1">
        <f>MAX(MIN((Table1[[#This Row],[taxable wages]]-3000)*0.15,1000*num_kids_16_younger),0)</f>
        <v>5000</v>
      </c>
      <c r="P208" s="9">
        <f>IF(Table1[[#This Row],[Effective Child Tax Credit]]&gt;Table1[[#This Row],[Regular Taxes Owed]],Table1[[#This Row],[Additional Child Tax Credit ]]-Table1[[#This Row],[Regular Taxes Owed]],0)</f>
        <v>0</v>
      </c>
      <c r="Q2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8" s="1">
        <f>Table1[[#This Row],[Effective Additional Child Tax Credit]]+Table1[[#This Row],[Eitc]]</f>
        <v>0</v>
      </c>
      <c r="S208" s="9">
        <f>Table1[[#This Row],[Regular Taxes Owed - Effective Child Tax Credit]]-Table1[[#This Row],[Total Credits]]</f>
        <v>755</v>
      </c>
      <c r="T208" s="9">
        <f>Table1[[#This Row],[taxable wages]]+interest+dividends+short_term_capital_gains+long_term_capital_gains-(charitable_donations+mortgage_interest)</f>
        <v>85500</v>
      </c>
      <c r="U208" s="9">
        <f>MAX(amt_exemption-amt_exemption_phase_out_rate*MAX(Table1[[#This Row],[taxable wages]]-amt_phase_out_begins,0),0)</f>
        <v>83800</v>
      </c>
      <c r="V2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442</v>
      </c>
      <c r="W208" s="1">
        <f>IF(AND(Table1[[#This Row],[AMT Taxes]]&gt;Table1[[#This Row],[Regular Taxes Owed]],Table1[[#This Row],[AMT Taxes]]&gt;0),Table1[[#This Row],[AMT Taxes]]-Table1[[#This Row],[Regular Taxes Owed]],0)</f>
        <v>0</v>
      </c>
      <c r="X208" s="9">
        <f>Table1[[#This Row],[Extra Taxes From Amt]]+Table1[[#This Row],[Federal Taxes Owed (No AMT)]]</f>
        <v>755</v>
      </c>
      <c r="Y208" s="9">
        <f>IF(Table1[[#This Row],[taxable wages]]&gt;obamacare_surcharge_amount,obamacare_surcharge_percent*(Table1[[#This Row],[taxable wages]]-obamacare_surcharge_amount),0)</f>
        <v>0</v>
      </c>
      <c r="Z208" s="9">
        <f>Table1[[#This Row],[Federal Taxes Owed (Includes AMT)]]+Table1[[#This Row],[Obamacare surcharge premium]]</f>
        <v>755</v>
      </c>
      <c r="AA208" s="9">
        <f>Table1[[#This Row],[taxable wages]]-Table1[[#This Row],[Federal Taxes Owed2]]</f>
        <v>84745</v>
      </c>
      <c r="AB208" s="51">
        <f t="shared" si="21"/>
        <v>0.15</v>
      </c>
      <c r="AC208" s="41"/>
      <c r="AD208" s="13"/>
      <c r="AE208" s="13"/>
    </row>
    <row r="209" spans="2:31" x14ac:dyDescent="0.3">
      <c r="B209" s="41">
        <f t="shared" si="22"/>
        <v>86000</v>
      </c>
      <c r="C209" s="1">
        <f>Table1[[#This Row],[taxable wages]]</f>
        <v>86000</v>
      </c>
      <c r="D209" s="1">
        <f>Table1[[#This Row],[taxable wages]]+interest+dividends+short_term_capital_gains+long_term_capital_gains</f>
        <v>86000</v>
      </c>
      <c r="E209" s="1">
        <f>MAX(Table1[[#This Row],[earned income for EITC]:[Agi For Eitc Calc]])</f>
        <v>86000</v>
      </c>
      <c r="F209" s="1">
        <f>Table1[[#This Row],[taxable wages]]+interest+dividends+short_term_capital_gains+long_term_capital_gains-(trad_ira_contributions+MIN(student_loan_interest_cap,student_loan_interest))</f>
        <v>86000</v>
      </c>
      <c r="G209" s="1">
        <f t="shared" si="18"/>
        <v>12600</v>
      </c>
      <c r="H209" s="1">
        <f t="shared" si="19"/>
        <v>28350</v>
      </c>
      <c r="I209" s="1">
        <f>MAX(0,Table1[[#This Row],[Agi]]-Table1[[#This Row],[Exemptions]]-Table1[[#This Row],[Effective Deductions]])</f>
        <v>45050</v>
      </c>
      <c r="J2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5830</v>
      </c>
      <c r="K209" s="1">
        <f t="shared" si="20"/>
        <v>5000</v>
      </c>
      <c r="L209" s="1">
        <f>IF(Table1[[#This Row],[Agi]]&gt;ctc_phase_out_begins,ctc_phase_out_rate*(Table1[[#This Row],[Agi]]-ctc_phase_out_begins),0)</f>
        <v>0</v>
      </c>
      <c r="M209" s="1">
        <f>MAX(Table1[[#This Row],[Child Tax Credit]]-Table1[[#This Row],[Child Tax Credit Phase Out]],0)</f>
        <v>5000</v>
      </c>
      <c r="N209" s="1">
        <f>MAX(Table1[[#This Row],[Regular Taxes Owed]]-Table1[[#This Row],[Effective Child Tax Credit]],0)</f>
        <v>830</v>
      </c>
      <c r="O209" s="1">
        <f>MAX(MIN((Table1[[#This Row],[taxable wages]]-3000)*0.15,1000*num_kids_16_younger),0)</f>
        <v>5000</v>
      </c>
      <c r="P209" s="9">
        <f>IF(Table1[[#This Row],[Effective Child Tax Credit]]&gt;Table1[[#This Row],[Regular Taxes Owed]],Table1[[#This Row],[Additional Child Tax Credit ]]-Table1[[#This Row],[Regular Taxes Owed]],0)</f>
        <v>0</v>
      </c>
      <c r="Q2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09" s="1">
        <f>Table1[[#This Row],[Effective Additional Child Tax Credit]]+Table1[[#This Row],[Eitc]]</f>
        <v>0</v>
      </c>
      <c r="S209" s="9">
        <f>Table1[[#This Row],[Regular Taxes Owed - Effective Child Tax Credit]]-Table1[[#This Row],[Total Credits]]</f>
        <v>830</v>
      </c>
      <c r="T209" s="9">
        <f>Table1[[#This Row],[taxable wages]]+interest+dividends+short_term_capital_gains+long_term_capital_gains-(charitable_donations+mortgage_interest)</f>
        <v>86000</v>
      </c>
      <c r="U209" s="9">
        <f>MAX(amt_exemption-amt_exemption_phase_out_rate*MAX(Table1[[#This Row],[taxable wages]]-amt_phase_out_begins,0),0)</f>
        <v>83800</v>
      </c>
      <c r="V2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572</v>
      </c>
      <c r="W209" s="1">
        <f>IF(AND(Table1[[#This Row],[AMT Taxes]]&gt;Table1[[#This Row],[Regular Taxes Owed]],Table1[[#This Row],[AMT Taxes]]&gt;0),Table1[[#This Row],[AMT Taxes]]-Table1[[#This Row],[Regular Taxes Owed]],0)</f>
        <v>0</v>
      </c>
      <c r="X209" s="9">
        <f>Table1[[#This Row],[Extra Taxes From Amt]]+Table1[[#This Row],[Federal Taxes Owed (No AMT)]]</f>
        <v>830</v>
      </c>
      <c r="Y209" s="9">
        <f>IF(Table1[[#This Row],[taxable wages]]&gt;obamacare_surcharge_amount,obamacare_surcharge_percent*(Table1[[#This Row],[taxable wages]]-obamacare_surcharge_amount),0)</f>
        <v>0</v>
      </c>
      <c r="Z209" s="9">
        <f>Table1[[#This Row],[Federal Taxes Owed (Includes AMT)]]+Table1[[#This Row],[Obamacare surcharge premium]]</f>
        <v>830</v>
      </c>
      <c r="AA209" s="9">
        <f>Table1[[#This Row],[taxable wages]]-Table1[[#This Row],[Federal Taxes Owed2]]</f>
        <v>85170</v>
      </c>
      <c r="AB209" s="51">
        <f t="shared" si="21"/>
        <v>0.15</v>
      </c>
      <c r="AC209" s="41"/>
      <c r="AD209" s="13"/>
      <c r="AE209" s="13"/>
    </row>
    <row r="210" spans="2:31" x14ac:dyDescent="0.3">
      <c r="B210" s="41">
        <f t="shared" si="22"/>
        <v>86500</v>
      </c>
      <c r="C210" s="1">
        <f>Table1[[#This Row],[taxable wages]]</f>
        <v>86500</v>
      </c>
      <c r="D210" s="1">
        <f>Table1[[#This Row],[taxable wages]]+interest+dividends+short_term_capital_gains+long_term_capital_gains</f>
        <v>86500</v>
      </c>
      <c r="E210" s="1">
        <f>MAX(Table1[[#This Row],[earned income for EITC]:[Agi For Eitc Calc]])</f>
        <v>86500</v>
      </c>
      <c r="F210" s="1">
        <f>Table1[[#This Row],[taxable wages]]+interest+dividends+short_term_capital_gains+long_term_capital_gains-(trad_ira_contributions+MIN(student_loan_interest_cap,student_loan_interest))</f>
        <v>86500</v>
      </c>
      <c r="G210" s="1">
        <f t="shared" si="18"/>
        <v>12600</v>
      </c>
      <c r="H210" s="1">
        <f t="shared" si="19"/>
        <v>28350</v>
      </c>
      <c r="I210" s="1">
        <f>MAX(0,Table1[[#This Row],[Agi]]-Table1[[#This Row],[Exemptions]]-Table1[[#This Row],[Effective Deductions]])</f>
        <v>45550</v>
      </c>
      <c r="J2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5905</v>
      </c>
      <c r="K210" s="1">
        <f t="shared" si="20"/>
        <v>5000</v>
      </c>
      <c r="L210" s="1">
        <f>IF(Table1[[#This Row],[Agi]]&gt;ctc_phase_out_begins,ctc_phase_out_rate*(Table1[[#This Row],[Agi]]-ctc_phase_out_begins),0)</f>
        <v>0</v>
      </c>
      <c r="M210" s="1">
        <f>MAX(Table1[[#This Row],[Child Tax Credit]]-Table1[[#This Row],[Child Tax Credit Phase Out]],0)</f>
        <v>5000</v>
      </c>
      <c r="N210" s="1">
        <f>MAX(Table1[[#This Row],[Regular Taxes Owed]]-Table1[[#This Row],[Effective Child Tax Credit]],0)</f>
        <v>905</v>
      </c>
      <c r="O210" s="1">
        <f>MAX(MIN((Table1[[#This Row],[taxable wages]]-3000)*0.15,1000*num_kids_16_younger),0)</f>
        <v>5000</v>
      </c>
      <c r="P210" s="9">
        <f>IF(Table1[[#This Row],[Effective Child Tax Credit]]&gt;Table1[[#This Row],[Regular Taxes Owed]],Table1[[#This Row],[Additional Child Tax Credit ]]-Table1[[#This Row],[Regular Taxes Owed]],0)</f>
        <v>0</v>
      </c>
      <c r="Q2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0" s="1">
        <f>Table1[[#This Row],[Effective Additional Child Tax Credit]]+Table1[[#This Row],[Eitc]]</f>
        <v>0</v>
      </c>
      <c r="S210" s="9">
        <f>Table1[[#This Row],[Regular Taxes Owed - Effective Child Tax Credit]]-Table1[[#This Row],[Total Credits]]</f>
        <v>905</v>
      </c>
      <c r="T210" s="9">
        <f>Table1[[#This Row],[taxable wages]]+interest+dividends+short_term_capital_gains+long_term_capital_gains-(charitable_donations+mortgage_interest)</f>
        <v>86500</v>
      </c>
      <c r="U210" s="9">
        <f>MAX(amt_exemption-amt_exemption_phase_out_rate*MAX(Table1[[#This Row],[taxable wages]]-amt_phase_out_begins,0),0)</f>
        <v>83800</v>
      </c>
      <c r="V2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702</v>
      </c>
      <c r="W210" s="1">
        <f>IF(AND(Table1[[#This Row],[AMT Taxes]]&gt;Table1[[#This Row],[Regular Taxes Owed]],Table1[[#This Row],[AMT Taxes]]&gt;0),Table1[[#This Row],[AMT Taxes]]-Table1[[#This Row],[Regular Taxes Owed]],0)</f>
        <v>0</v>
      </c>
      <c r="X210" s="9">
        <f>Table1[[#This Row],[Extra Taxes From Amt]]+Table1[[#This Row],[Federal Taxes Owed (No AMT)]]</f>
        <v>905</v>
      </c>
      <c r="Y210" s="9">
        <f>IF(Table1[[#This Row],[taxable wages]]&gt;obamacare_surcharge_amount,obamacare_surcharge_percent*(Table1[[#This Row],[taxable wages]]-obamacare_surcharge_amount),0)</f>
        <v>0</v>
      </c>
      <c r="Z210" s="9">
        <f>Table1[[#This Row],[Federal Taxes Owed (Includes AMT)]]+Table1[[#This Row],[Obamacare surcharge premium]]</f>
        <v>905</v>
      </c>
      <c r="AA210" s="9">
        <f>Table1[[#This Row],[taxable wages]]-Table1[[#This Row],[Federal Taxes Owed2]]</f>
        <v>85595</v>
      </c>
      <c r="AB210" s="51">
        <f t="shared" si="21"/>
        <v>0.15</v>
      </c>
      <c r="AC210" s="41"/>
      <c r="AD210" s="13"/>
      <c r="AE210" s="13"/>
    </row>
    <row r="211" spans="2:31" x14ac:dyDescent="0.3">
      <c r="B211" s="41">
        <f t="shared" si="22"/>
        <v>87000</v>
      </c>
      <c r="C211" s="1">
        <f>Table1[[#This Row],[taxable wages]]</f>
        <v>87000</v>
      </c>
      <c r="D211" s="1">
        <f>Table1[[#This Row],[taxable wages]]+interest+dividends+short_term_capital_gains+long_term_capital_gains</f>
        <v>87000</v>
      </c>
      <c r="E211" s="1">
        <f>MAX(Table1[[#This Row],[earned income for EITC]:[Agi For Eitc Calc]])</f>
        <v>87000</v>
      </c>
      <c r="F211" s="1">
        <f>Table1[[#This Row],[taxable wages]]+interest+dividends+short_term_capital_gains+long_term_capital_gains-(trad_ira_contributions+MIN(student_loan_interest_cap,student_loan_interest))</f>
        <v>87000</v>
      </c>
      <c r="G211" s="1">
        <f t="shared" si="18"/>
        <v>12600</v>
      </c>
      <c r="H211" s="1">
        <f t="shared" si="19"/>
        <v>28350</v>
      </c>
      <c r="I211" s="1">
        <f>MAX(0,Table1[[#This Row],[Agi]]-Table1[[#This Row],[Exemptions]]-Table1[[#This Row],[Effective Deductions]])</f>
        <v>46050</v>
      </c>
      <c r="J2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5980</v>
      </c>
      <c r="K211" s="1">
        <f t="shared" si="20"/>
        <v>5000</v>
      </c>
      <c r="L211" s="1">
        <f>IF(Table1[[#This Row],[Agi]]&gt;ctc_phase_out_begins,ctc_phase_out_rate*(Table1[[#This Row],[Agi]]-ctc_phase_out_begins),0)</f>
        <v>0</v>
      </c>
      <c r="M211" s="1">
        <f>MAX(Table1[[#This Row],[Child Tax Credit]]-Table1[[#This Row],[Child Tax Credit Phase Out]],0)</f>
        <v>5000</v>
      </c>
      <c r="N211" s="1">
        <f>MAX(Table1[[#This Row],[Regular Taxes Owed]]-Table1[[#This Row],[Effective Child Tax Credit]],0)</f>
        <v>980</v>
      </c>
      <c r="O211" s="1">
        <f>MAX(MIN((Table1[[#This Row],[taxable wages]]-3000)*0.15,1000*num_kids_16_younger),0)</f>
        <v>5000</v>
      </c>
      <c r="P211" s="9">
        <f>IF(Table1[[#This Row],[Effective Child Tax Credit]]&gt;Table1[[#This Row],[Regular Taxes Owed]],Table1[[#This Row],[Additional Child Tax Credit ]]-Table1[[#This Row],[Regular Taxes Owed]],0)</f>
        <v>0</v>
      </c>
      <c r="Q2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1" s="1">
        <f>Table1[[#This Row],[Effective Additional Child Tax Credit]]+Table1[[#This Row],[Eitc]]</f>
        <v>0</v>
      </c>
      <c r="S211" s="9">
        <f>Table1[[#This Row],[Regular Taxes Owed - Effective Child Tax Credit]]-Table1[[#This Row],[Total Credits]]</f>
        <v>980</v>
      </c>
      <c r="T211" s="9">
        <f>Table1[[#This Row],[taxable wages]]+interest+dividends+short_term_capital_gains+long_term_capital_gains-(charitable_donations+mortgage_interest)</f>
        <v>87000</v>
      </c>
      <c r="U211" s="9">
        <f>MAX(amt_exemption-amt_exemption_phase_out_rate*MAX(Table1[[#This Row],[taxable wages]]-amt_phase_out_begins,0),0)</f>
        <v>83800</v>
      </c>
      <c r="V2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832</v>
      </c>
      <c r="W211" s="1">
        <f>IF(AND(Table1[[#This Row],[AMT Taxes]]&gt;Table1[[#This Row],[Regular Taxes Owed]],Table1[[#This Row],[AMT Taxes]]&gt;0),Table1[[#This Row],[AMT Taxes]]-Table1[[#This Row],[Regular Taxes Owed]],0)</f>
        <v>0</v>
      </c>
      <c r="X211" s="9">
        <f>Table1[[#This Row],[Extra Taxes From Amt]]+Table1[[#This Row],[Federal Taxes Owed (No AMT)]]</f>
        <v>980</v>
      </c>
      <c r="Y211" s="9">
        <f>IF(Table1[[#This Row],[taxable wages]]&gt;obamacare_surcharge_amount,obamacare_surcharge_percent*(Table1[[#This Row],[taxable wages]]-obamacare_surcharge_amount),0)</f>
        <v>0</v>
      </c>
      <c r="Z211" s="9">
        <f>Table1[[#This Row],[Federal Taxes Owed (Includes AMT)]]+Table1[[#This Row],[Obamacare surcharge premium]]</f>
        <v>980</v>
      </c>
      <c r="AA211" s="9">
        <f>Table1[[#This Row],[taxable wages]]-Table1[[#This Row],[Federal Taxes Owed2]]</f>
        <v>86020</v>
      </c>
      <c r="AB211" s="51">
        <f t="shared" si="21"/>
        <v>0.15</v>
      </c>
      <c r="AC211" s="41"/>
      <c r="AD211" s="13"/>
      <c r="AE211" s="13"/>
    </row>
    <row r="212" spans="2:31" x14ac:dyDescent="0.3">
      <c r="B212" s="41">
        <f t="shared" si="22"/>
        <v>87500</v>
      </c>
      <c r="C212" s="1">
        <f>Table1[[#This Row],[taxable wages]]</f>
        <v>87500</v>
      </c>
      <c r="D212" s="1">
        <f>Table1[[#This Row],[taxable wages]]+interest+dividends+short_term_capital_gains+long_term_capital_gains</f>
        <v>87500</v>
      </c>
      <c r="E212" s="1">
        <f>MAX(Table1[[#This Row],[earned income for EITC]:[Agi For Eitc Calc]])</f>
        <v>87500</v>
      </c>
      <c r="F212" s="1">
        <f>Table1[[#This Row],[taxable wages]]+interest+dividends+short_term_capital_gains+long_term_capital_gains-(trad_ira_contributions+MIN(student_loan_interest_cap,student_loan_interest))</f>
        <v>87500</v>
      </c>
      <c r="G212" s="1">
        <f t="shared" si="18"/>
        <v>12600</v>
      </c>
      <c r="H212" s="1">
        <f t="shared" si="19"/>
        <v>28350</v>
      </c>
      <c r="I212" s="1">
        <f>MAX(0,Table1[[#This Row],[Agi]]-Table1[[#This Row],[Exemptions]]-Table1[[#This Row],[Effective Deductions]])</f>
        <v>46550</v>
      </c>
      <c r="J2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6055</v>
      </c>
      <c r="K212" s="1">
        <f t="shared" si="20"/>
        <v>5000</v>
      </c>
      <c r="L212" s="1">
        <f>IF(Table1[[#This Row],[Agi]]&gt;ctc_phase_out_begins,ctc_phase_out_rate*(Table1[[#This Row],[Agi]]-ctc_phase_out_begins),0)</f>
        <v>0</v>
      </c>
      <c r="M212" s="1">
        <f>MAX(Table1[[#This Row],[Child Tax Credit]]-Table1[[#This Row],[Child Tax Credit Phase Out]],0)</f>
        <v>5000</v>
      </c>
      <c r="N212" s="1">
        <f>MAX(Table1[[#This Row],[Regular Taxes Owed]]-Table1[[#This Row],[Effective Child Tax Credit]],0)</f>
        <v>1055</v>
      </c>
      <c r="O212" s="1">
        <f>MAX(MIN((Table1[[#This Row],[taxable wages]]-3000)*0.15,1000*num_kids_16_younger),0)</f>
        <v>5000</v>
      </c>
      <c r="P212" s="9">
        <f>IF(Table1[[#This Row],[Effective Child Tax Credit]]&gt;Table1[[#This Row],[Regular Taxes Owed]],Table1[[#This Row],[Additional Child Tax Credit ]]-Table1[[#This Row],[Regular Taxes Owed]],0)</f>
        <v>0</v>
      </c>
      <c r="Q2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2" s="1">
        <f>Table1[[#This Row],[Effective Additional Child Tax Credit]]+Table1[[#This Row],[Eitc]]</f>
        <v>0</v>
      </c>
      <c r="S212" s="9">
        <f>Table1[[#This Row],[Regular Taxes Owed - Effective Child Tax Credit]]-Table1[[#This Row],[Total Credits]]</f>
        <v>1055</v>
      </c>
      <c r="T212" s="9">
        <f>Table1[[#This Row],[taxable wages]]+interest+dividends+short_term_capital_gains+long_term_capital_gains-(charitable_donations+mortgage_interest)</f>
        <v>87500</v>
      </c>
      <c r="U212" s="9">
        <f>MAX(amt_exemption-amt_exemption_phase_out_rate*MAX(Table1[[#This Row],[taxable wages]]-amt_phase_out_begins,0),0)</f>
        <v>83800</v>
      </c>
      <c r="V2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962</v>
      </c>
      <c r="W212" s="1">
        <f>IF(AND(Table1[[#This Row],[AMT Taxes]]&gt;Table1[[#This Row],[Regular Taxes Owed]],Table1[[#This Row],[AMT Taxes]]&gt;0),Table1[[#This Row],[AMT Taxes]]-Table1[[#This Row],[Regular Taxes Owed]],0)</f>
        <v>0</v>
      </c>
      <c r="X212" s="9">
        <f>Table1[[#This Row],[Extra Taxes From Amt]]+Table1[[#This Row],[Federal Taxes Owed (No AMT)]]</f>
        <v>1055</v>
      </c>
      <c r="Y212" s="9">
        <f>IF(Table1[[#This Row],[taxable wages]]&gt;obamacare_surcharge_amount,obamacare_surcharge_percent*(Table1[[#This Row],[taxable wages]]-obamacare_surcharge_amount),0)</f>
        <v>0</v>
      </c>
      <c r="Z212" s="9">
        <f>Table1[[#This Row],[Federal Taxes Owed (Includes AMT)]]+Table1[[#This Row],[Obamacare surcharge premium]]</f>
        <v>1055</v>
      </c>
      <c r="AA212" s="9">
        <f>Table1[[#This Row],[taxable wages]]-Table1[[#This Row],[Federal Taxes Owed2]]</f>
        <v>86445</v>
      </c>
      <c r="AB212" s="51">
        <f t="shared" si="21"/>
        <v>0.15</v>
      </c>
      <c r="AC212" s="41"/>
      <c r="AD212" s="13"/>
      <c r="AE212" s="13"/>
    </row>
    <row r="213" spans="2:31" x14ac:dyDescent="0.3">
      <c r="B213" s="41">
        <f t="shared" si="22"/>
        <v>88000</v>
      </c>
      <c r="C213" s="1">
        <f>Table1[[#This Row],[taxable wages]]</f>
        <v>88000</v>
      </c>
      <c r="D213" s="1">
        <f>Table1[[#This Row],[taxable wages]]+interest+dividends+short_term_capital_gains+long_term_capital_gains</f>
        <v>88000</v>
      </c>
      <c r="E213" s="1">
        <f>MAX(Table1[[#This Row],[earned income for EITC]:[Agi For Eitc Calc]])</f>
        <v>88000</v>
      </c>
      <c r="F213" s="1">
        <f>Table1[[#This Row],[taxable wages]]+interest+dividends+short_term_capital_gains+long_term_capital_gains-(trad_ira_contributions+MIN(student_loan_interest_cap,student_loan_interest))</f>
        <v>88000</v>
      </c>
      <c r="G213" s="1">
        <f t="shared" si="18"/>
        <v>12600</v>
      </c>
      <c r="H213" s="1">
        <f t="shared" si="19"/>
        <v>28350</v>
      </c>
      <c r="I213" s="1">
        <f>MAX(0,Table1[[#This Row],[Agi]]-Table1[[#This Row],[Exemptions]]-Table1[[#This Row],[Effective Deductions]])</f>
        <v>47050</v>
      </c>
      <c r="J2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6130</v>
      </c>
      <c r="K213" s="1">
        <f t="shared" si="20"/>
        <v>5000</v>
      </c>
      <c r="L213" s="1">
        <f>IF(Table1[[#This Row],[Agi]]&gt;ctc_phase_out_begins,ctc_phase_out_rate*(Table1[[#This Row],[Agi]]-ctc_phase_out_begins),0)</f>
        <v>0</v>
      </c>
      <c r="M213" s="1">
        <f>MAX(Table1[[#This Row],[Child Tax Credit]]-Table1[[#This Row],[Child Tax Credit Phase Out]],0)</f>
        <v>5000</v>
      </c>
      <c r="N213" s="1">
        <f>MAX(Table1[[#This Row],[Regular Taxes Owed]]-Table1[[#This Row],[Effective Child Tax Credit]],0)</f>
        <v>1130</v>
      </c>
      <c r="O213" s="1">
        <f>MAX(MIN((Table1[[#This Row],[taxable wages]]-3000)*0.15,1000*num_kids_16_younger),0)</f>
        <v>5000</v>
      </c>
      <c r="P213" s="9">
        <f>IF(Table1[[#This Row],[Effective Child Tax Credit]]&gt;Table1[[#This Row],[Regular Taxes Owed]],Table1[[#This Row],[Additional Child Tax Credit ]]-Table1[[#This Row],[Regular Taxes Owed]],0)</f>
        <v>0</v>
      </c>
      <c r="Q2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3" s="1">
        <f>Table1[[#This Row],[Effective Additional Child Tax Credit]]+Table1[[#This Row],[Eitc]]</f>
        <v>0</v>
      </c>
      <c r="S213" s="9">
        <f>Table1[[#This Row],[Regular Taxes Owed - Effective Child Tax Credit]]-Table1[[#This Row],[Total Credits]]</f>
        <v>1130</v>
      </c>
      <c r="T213" s="9">
        <f>Table1[[#This Row],[taxable wages]]+interest+dividends+short_term_capital_gains+long_term_capital_gains-(charitable_donations+mortgage_interest)</f>
        <v>88000</v>
      </c>
      <c r="U213" s="9">
        <f>MAX(amt_exemption-amt_exemption_phase_out_rate*MAX(Table1[[#This Row],[taxable wages]]-amt_phase_out_begins,0),0)</f>
        <v>83800</v>
      </c>
      <c r="V2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1092</v>
      </c>
      <c r="W213" s="1">
        <f>IF(AND(Table1[[#This Row],[AMT Taxes]]&gt;Table1[[#This Row],[Regular Taxes Owed]],Table1[[#This Row],[AMT Taxes]]&gt;0),Table1[[#This Row],[AMT Taxes]]-Table1[[#This Row],[Regular Taxes Owed]],0)</f>
        <v>0</v>
      </c>
      <c r="X213" s="9">
        <f>Table1[[#This Row],[Extra Taxes From Amt]]+Table1[[#This Row],[Federal Taxes Owed (No AMT)]]</f>
        <v>1130</v>
      </c>
      <c r="Y213" s="9">
        <f>IF(Table1[[#This Row],[taxable wages]]&gt;obamacare_surcharge_amount,obamacare_surcharge_percent*(Table1[[#This Row],[taxable wages]]-obamacare_surcharge_amount),0)</f>
        <v>0</v>
      </c>
      <c r="Z213" s="9">
        <f>Table1[[#This Row],[Federal Taxes Owed (Includes AMT)]]+Table1[[#This Row],[Obamacare surcharge premium]]</f>
        <v>1130</v>
      </c>
      <c r="AA213" s="9">
        <f>Table1[[#This Row],[taxable wages]]-Table1[[#This Row],[Federal Taxes Owed2]]</f>
        <v>86870</v>
      </c>
      <c r="AB213" s="51">
        <f t="shared" si="21"/>
        <v>0.15</v>
      </c>
      <c r="AC213" s="41"/>
      <c r="AD213" s="13"/>
      <c r="AE213" s="13"/>
    </row>
    <row r="214" spans="2:31" x14ac:dyDescent="0.3">
      <c r="B214" s="41">
        <f t="shared" si="22"/>
        <v>88500</v>
      </c>
      <c r="C214" s="1">
        <f>Table1[[#This Row],[taxable wages]]</f>
        <v>88500</v>
      </c>
      <c r="D214" s="1">
        <f>Table1[[#This Row],[taxable wages]]+interest+dividends+short_term_capital_gains+long_term_capital_gains</f>
        <v>88500</v>
      </c>
      <c r="E214" s="1">
        <f>MAX(Table1[[#This Row],[earned income for EITC]:[Agi For Eitc Calc]])</f>
        <v>88500</v>
      </c>
      <c r="F214" s="1">
        <f>Table1[[#This Row],[taxable wages]]+interest+dividends+short_term_capital_gains+long_term_capital_gains-(trad_ira_contributions+MIN(student_loan_interest_cap,student_loan_interest))</f>
        <v>88500</v>
      </c>
      <c r="G214" s="1">
        <f t="shared" si="18"/>
        <v>12600</v>
      </c>
      <c r="H214" s="1">
        <f t="shared" si="19"/>
        <v>28350</v>
      </c>
      <c r="I214" s="1">
        <f>MAX(0,Table1[[#This Row],[Agi]]-Table1[[#This Row],[Exemptions]]-Table1[[#This Row],[Effective Deductions]])</f>
        <v>47550</v>
      </c>
      <c r="J2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6205</v>
      </c>
      <c r="K214" s="1">
        <f t="shared" si="20"/>
        <v>5000</v>
      </c>
      <c r="L214" s="1">
        <f>IF(Table1[[#This Row],[Agi]]&gt;ctc_phase_out_begins,ctc_phase_out_rate*(Table1[[#This Row],[Agi]]-ctc_phase_out_begins),0)</f>
        <v>0</v>
      </c>
      <c r="M214" s="1">
        <f>MAX(Table1[[#This Row],[Child Tax Credit]]-Table1[[#This Row],[Child Tax Credit Phase Out]],0)</f>
        <v>5000</v>
      </c>
      <c r="N214" s="1">
        <f>MAX(Table1[[#This Row],[Regular Taxes Owed]]-Table1[[#This Row],[Effective Child Tax Credit]],0)</f>
        <v>1205</v>
      </c>
      <c r="O214" s="1">
        <f>MAX(MIN((Table1[[#This Row],[taxable wages]]-3000)*0.15,1000*num_kids_16_younger),0)</f>
        <v>5000</v>
      </c>
      <c r="P214" s="9">
        <f>IF(Table1[[#This Row],[Effective Child Tax Credit]]&gt;Table1[[#This Row],[Regular Taxes Owed]],Table1[[#This Row],[Additional Child Tax Credit ]]-Table1[[#This Row],[Regular Taxes Owed]],0)</f>
        <v>0</v>
      </c>
      <c r="Q2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4" s="1">
        <f>Table1[[#This Row],[Effective Additional Child Tax Credit]]+Table1[[#This Row],[Eitc]]</f>
        <v>0</v>
      </c>
      <c r="S214" s="9">
        <f>Table1[[#This Row],[Regular Taxes Owed - Effective Child Tax Credit]]-Table1[[#This Row],[Total Credits]]</f>
        <v>1205</v>
      </c>
      <c r="T214" s="9">
        <f>Table1[[#This Row],[taxable wages]]+interest+dividends+short_term_capital_gains+long_term_capital_gains-(charitable_donations+mortgage_interest)</f>
        <v>88500</v>
      </c>
      <c r="U214" s="9">
        <f>MAX(amt_exemption-amt_exemption_phase_out_rate*MAX(Table1[[#This Row],[taxable wages]]-amt_phase_out_begins,0),0)</f>
        <v>83800</v>
      </c>
      <c r="V2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1222</v>
      </c>
      <c r="W214" s="1">
        <f>IF(AND(Table1[[#This Row],[AMT Taxes]]&gt;Table1[[#This Row],[Regular Taxes Owed]],Table1[[#This Row],[AMT Taxes]]&gt;0),Table1[[#This Row],[AMT Taxes]]-Table1[[#This Row],[Regular Taxes Owed]],0)</f>
        <v>0</v>
      </c>
      <c r="X214" s="9">
        <f>Table1[[#This Row],[Extra Taxes From Amt]]+Table1[[#This Row],[Federal Taxes Owed (No AMT)]]</f>
        <v>1205</v>
      </c>
      <c r="Y214" s="9">
        <f>IF(Table1[[#This Row],[taxable wages]]&gt;obamacare_surcharge_amount,obamacare_surcharge_percent*(Table1[[#This Row],[taxable wages]]-obamacare_surcharge_amount),0)</f>
        <v>0</v>
      </c>
      <c r="Z214" s="9">
        <f>Table1[[#This Row],[Federal Taxes Owed (Includes AMT)]]+Table1[[#This Row],[Obamacare surcharge premium]]</f>
        <v>1205</v>
      </c>
      <c r="AA214" s="9">
        <f>Table1[[#This Row],[taxable wages]]-Table1[[#This Row],[Federal Taxes Owed2]]</f>
        <v>87295</v>
      </c>
      <c r="AB214" s="51">
        <f t="shared" si="21"/>
        <v>0.15</v>
      </c>
      <c r="AC214" s="41"/>
      <c r="AD214" s="13"/>
      <c r="AE214" s="13"/>
    </row>
    <row r="215" spans="2:31" x14ac:dyDescent="0.3">
      <c r="B215" s="41">
        <f t="shared" si="22"/>
        <v>89000</v>
      </c>
      <c r="C215" s="1">
        <f>Table1[[#This Row],[taxable wages]]</f>
        <v>89000</v>
      </c>
      <c r="D215" s="1">
        <f>Table1[[#This Row],[taxable wages]]+interest+dividends+short_term_capital_gains+long_term_capital_gains</f>
        <v>89000</v>
      </c>
      <c r="E215" s="1">
        <f>MAX(Table1[[#This Row],[earned income for EITC]:[Agi For Eitc Calc]])</f>
        <v>89000</v>
      </c>
      <c r="F215" s="1">
        <f>Table1[[#This Row],[taxable wages]]+interest+dividends+short_term_capital_gains+long_term_capital_gains-(trad_ira_contributions+MIN(student_loan_interest_cap,student_loan_interest))</f>
        <v>89000</v>
      </c>
      <c r="G215" s="1">
        <f t="shared" si="18"/>
        <v>12600</v>
      </c>
      <c r="H215" s="1">
        <f t="shared" si="19"/>
        <v>28350</v>
      </c>
      <c r="I215" s="1">
        <f>MAX(0,Table1[[#This Row],[Agi]]-Table1[[#This Row],[Exemptions]]-Table1[[#This Row],[Effective Deductions]])</f>
        <v>48050</v>
      </c>
      <c r="J2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6280</v>
      </c>
      <c r="K215" s="1">
        <f t="shared" si="20"/>
        <v>5000</v>
      </c>
      <c r="L215" s="1">
        <f>IF(Table1[[#This Row],[Agi]]&gt;ctc_phase_out_begins,ctc_phase_out_rate*(Table1[[#This Row],[Agi]]-ctc_phase_out_begins),0)</f>
        <v>0</v>
      </c>
      <c r="M215" s="1">
        <f>MAX(Table1[[#This Row],[Child Tax Credit]]-Table1[[#This Row],[Child Tax Credit Phase Out]],0)</f>
        <v>5000</v>
      </c>
      <c r="N215" s="1">
        <f>MAX(Table1[[#This Row],[Regular Taxes Owed]]-Table1[[#This Row],[Effective Child Tax Credit]],0)</f>
        <v>1280</v>
      </c>
      <c r="O215" s="1">
        <f>MAX(MIN((Table1[[#This Row],[taxable wages]]-3000)*0.15,1000*num_kids_16_younger),0)</f>
        <v>5000</v>
      </c>
      <c r="P215" s="9">
        <f>IF(Table1[[#This Row],[Effective Child Tax Credit]]&gt;Table1[[#This Row],[Regular Taxes Owed]],Table1[[#This Row],[Additional Child Tax Credit ]]-Table1[[#This Row],[Regular Taxes Owed]],0)</f>
        <v>0</v>
      </c>
      <c r="Q2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5" s="1">
        <f>Table1[[#This Row],[Effective Additional Child Tax Credit]]+Table1[[#This Row],[Eitc]]</f>
        <v>0</v>
      </c>
      <c r="S215" s="9">
        <f>Table1[[#This Row],[Regular Taxes Owed - Effective Child Tax Credit]]-Table1[[#This Row],[Total Credits]]</f>
        <v>1280</v>
      </c>
      <c r="T215" s="9">
        <f>Table1[[#This Row],[taxable wages]]+interest+dividends+short_term_capital_gains+long_term_capital_gains-(charitable_donations+mortgage_interest)</f>
        <v>89000</v>
      </c>
      <c r="U215" s="9">
        <f>MAX(amt_exemption-amt_exemption_phase_out_rate*MAX(Table1[[#This Row],[taxable wages]]-amt_phase_out_begins,0),0)</f>
        <v>83800</v>
      </c>
      <c r="V2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1352</v>
      </c>
      <c r="W215" s="1">
        <f>IF(AND(Table1[[#This Row],[AMT Taxes]]&gt;Table1[[#This Row],[Regular Taxes Owed]],Table1[[#This Row],[AMT Taxes]]&gt;0),Table1[[#This Row],[AMT Taxes]]-Table1[[#This Row],[Regular Taxes Owed]],0)</f>
        <v>0</v>
      </c>
      <c r="X215" s="9">
        <f>Table1[[#This Row],[Extra Taxes From Amt]]+Table1[[#This Row],[Federal Taxes Owed (No AMT)]]</f>
        <v>1280</v>
      </c>
      <c r="Y215" s="9">
        <f>IF(Table1[[#This Row],[taxable wages]]&gt;obamacare_surcharge_amount,obamacare_surcharge_percent*(Table1[[#This Row],[taxable wages]]-obamacare_surcharge_amount),0)</f>
        <v>0</v>
      </c>
      <c r="Z215" s="9">
        <f>Table1[[#This Row],[Federal Taxes Owed (Includes AMT)]]+Table1[[#This Row],[Obamacare surcharge premium]]</f>
        <v>1280</v>
      </c>
      <c r="AA215" s="9">
        <f>Table1[[#This Row],[taxable wages]]-Table1[[#This Row],[Federal Taxes Owed2]]</f>
        <v>87720</v>
      </c>
      <c r="AB215" s="51">
        <f t="shared" si="21"/>
        <v>0.15</v>
      </c>
      <c r="AC215" s="41"/>
      <c r="AD215" s="13"/>
      <c r="AE215" s="13"/>
    </row>
    <row r="216" spans="2:31" x14ac:dyDescent="0.3">
      <c r="B216" s="41">
        <f t="shared" si="22"/>
        <v>89500</v>
      </c>
      <c r="C216" s="1">
        <f>Table1[[#This Row],[taxable wages]]</f>
        <v>89500</v>
      </c>
      <c r="D216" s="1">
        <f>Table1[[#This Row],[taxable wages]]+interest+dividends+short_term_capital_gains+long_term_capital_gains</f>
        <v>89500</v>
      </c>
      <c r="E216" s="1">
        <f>MAX(Table1[[#This Row],[earned income for EITC]:[Agi For Eitc Calc]])</f>
        <v>89500</v>
      </c>
      <c r="F216" s="1">
        <f>Table1[[#This Row],[taxable wages]]+interest+dividends+short_term_capital_gains+long_term_capital_gains-(trad_ira_contributions+MIN(student_loan_interest_cap,student_loan_interest))</f>
        <v>89500</v>
      </c>
      <c r="G216" s="1">
        <f t="shared" si="18"/>
        <v>12600</v>
      </c>
      <c r="H216" s="1">
        <f t="shared" si="19"/>
        <v>28350</v>
      </c>
      <c r="I216" s="1">
        <f>MAX(0,Table1[[#This Row],[Agi]]-Table1[[#This Row],[Exemptions]]-Table1[[#This Row],[Effective Deductions]])</f>
        <v>48550</v>
      </c>
      <c r="J2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6355</v>
      </c>
      <c r="K216" s="1">
        <f t="shared" si="20"/>
        <v>5000</v>
      </c>
      <c r="L216" s="1">
        <f>IF(Table1[[#This Row],[Agi]]&gt;ctc_phase_out_begins,ctc_phase_out_rate*(Table1[[#This Row],[Agi]]-ctc_phase_out_begins),0)</f>
        <v>0</v>
      </c>
      <c r="M216" s="1">
        <f>MAX(Table1[[#This Row],[Child Tax Credit]]-Table1[[#This Row],[Child Tax Credit Phase Out]],0)</f>
        <v>5000</v>
      </c>
      <c r="N216" s="1">
        <f>MAX(Table1[[#This Row],[Regular Taxes Owed]]-Table1[[#This Row],[Effective Child Tax Credit]],0)</f>
        <v>1355</v>
      </c>
      <c r="O216" s="1">
        <f>MAX(MIN((Table1[[#This Row],[taxable wages]]-3000)*0.15,1000*num_kids_16_younger),0)</f>
        <v>5000</v>
      </c>
      <c r="P216" s="9">
        <f>IF(Table1[[#This Row],[Effective Child Tax Credit]]&gt;Table1[[#This Row],[Regular Taxes Owed]],Table1[[#This Row],[Additional Child Tax Credit ]]-Table1[[#This Row],[Regular Taxes Owed]],0)</f>
        <v>0</v>
      </c>
      <c r="Q2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6" s="1">
        <f>Table1[[#This Row],[Effective Additional Child Tax Credit]]+Table1[[#This Row],[Eitc]]</f>
        <v>0</v>
      </c>
      <c r="S216" s="9">
        <f>Table1[[#This Row],[Regular Taxes Owed - Effective Child Tax Credit]]-Table1[[#This Row],[Total Credits]]</f>
        <v>1355</v>
      </c>
      <c r="T216" s="9">
        <f>Table1[[#This Row],[taxable wages]]+interest+dividends+short_term_capital_gains+long_term_capital_gains-(charitable_donations+mortgage_interest)</f>
        <v>89500</v>
      </c>
      <c r="U216" s="9">
        <f>MAX(amt_exemption-amt_exemption_phase_out_rate*MAX(Table1[[#This Row],[taxable wages]]-amt_phase_out_begins,0),0)</f>
        <v>83800</v>
      </c>
      <c r="V2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1482</v>
      </c>
      <c r="W216" s="1">
        <f>IF(AND(Table1[[#This Row],[AMT Taxes]]&gt;Table1[[#This Row],[Regular Taxes Owed]],Table1[[#This Row],[AMT Taxes]]&gt;0),Table1[[#This Row],[AMT Taxes]]-Table1[[#This Row],[Regular Taxes Owed]],0)</f>
        <v>0</v>
      </c>
      <c r="X216" s="9">
        <f>Table1[[#This Row],[Extra Taxes From Amt]]+Table1[[#This Row],[Federal Taxes Owed (No AMT)]]</f>
        <v>1355</v>
      </c>
      <c r="Y216" s="9">
        <f>IF(Table1[[#This Row],[taxable wages]]&gt;obamacare_surcharge_amount,obamacare_surcharge_percent*(Table1[[#This Row],[taxable wages]]-obamacare_surcharge_amount),0)</f>
        <v>0</v>
      </c>
      <c r="Z216" s="9">
        <f>Table1[[#This Row],[Federal Taxes Owed (Includes AMT)]]+Table1[[#This Row],[Obamacare surcharge premium]]</f>
        <v>1355</v>
      </c>
      <c r="AA216" s="9">
        <f>Table1[[#This Row],[taxable wages]]-Table1[[#This Row],[Federal Taxes Owed2]]</f>
        <v>88145</v>
      </c>
      <c r="AB216" s="51">
        <f t="shared" si="21"/>
        <v>0.15</v>
      </c>
      <c r="AC216" s="41"/>
      <c r="AD216" s="13"/>
      <c r="AE216" s="13"/>
    </row>
    <row r="217" spans="2:31" x14ac:dyDescent="0.3">
      <c r="B217" s="41">
        <f t="shared" si="22"/>
        <v>90000</v>
      </c>
      <c r="C217" s="1">
        <f>Table1[[#This Row],[taxable wages]]</f>
        <v>90000</v>
      </c>
      <c r="D217" s="1">
        <f>Table1[[#This Row],[taxable wages]]+interest+dividends+short_term_capital_gains+long_term_capital_gains</f>
        <v>90000</v>
      </c>
      <c r="E217" s="1">
        <f>MAX(Table1[[#This Row],[earned income for EITC]:[Agi For Eitc Calc]])</f>
        <v>90000</v>
      </c>
      <c r="F217" s="1">
        <f>Table1[[#This Row],[taxable wages]]+interest+dividends+short_term_capital_gains+long_term_capital_gains-(trad_ira_contributions+MIN(student_loan_interest_cap,student_loan_interest))</f>
        <v>90000</v>
      </c>
      <c r="G217" s="1">
        <f t="shared" si="18"/>
        <v>12600</v>
      </c>
      <c r="H217" s="1">
        <f t="shared" si="19"/>
        <v>28350</v>
      </c>
      <c r="I217" s="1">
        <f>MAX(0,Table1[[#This Row],[Agi]]-Table1[[#This Row],[Exemptions]]-Table1[[#This Row],[Effective Deductions]])</f>
        <v>49050</v>
      </c>
      <c r="J2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6430</v>
      </c>
      <c r="K217" s="1">
        <f t="shared" si="20"/>
        <v>5000</v>
      </c>
      <c r="L217" s="1">
        <f>IF(Table1[[#This Row],[Agi]]&gt;ctc_phase_out_begins,ctc_phase_out_rate*(Table1[[#This Row],[Agi]]-ctc_phase_out_begins),0)</f>
        <v>0</v>
      </c>
      <c r="M217" s="1">
        <f>MAX(Table1[[#This Row],[Child Tax Credit]]-Table1[[#This Row],[Child Tax Credit Phase Out]],0)</f>
        <v>5000</v>
      </c>
      <c r="N217" s="1">
        <f>MAX(Table1[[#This Row],[Regular Taxes Owed]]-Table1[[#This Row],[Effective Child Tax Credit]],0)</f>
        <v>1430</v>
      </c>
      <c r="O217" s="1">
        <f>MAX(MIN((Table1[[#This Row],[taxable wages]]-3000)*0.15,1000*num_kids_16_younger),0)</f>
        <v>5000</v>
      </c>
      <c r="P217" s="9">
        <f>IF(Table1[[#This Row],[Effective Child Tax Credit]]&gt;Table1[[#This Row],[Regular Taxes Owed]],Table1[[#This Row],[Additional Child Tax Credit ]]-Table1[[#This Row],[Regular Taxes Owed]],0)</f>
        <v>0</v>
      </c>
      <c r="Q2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7" s="1">
        <f>Table1[[#This Row],[Effective Additional Child Tax Credit]]+Table1[[#This Row],[Eitc]]</f>
        <v>0</v>
      </c>
      <c r="S217" s="9">
        <f>Table1[[#This Row],[Regular Taxes Owed - Effective Child Tax Credit]]-Table1[[#This Row],[Total Credits]]</f>
        <v>1430</v>
      </c>
      <c r="T217" s="9">
        <f>Table1[[#This Row],[taxable wages]]+interest+dividends+short_term_capital_gains+long_term_capital_gains-(charitable_donations+mortgage_interest)</f>
        <v>90000</v>
      </c>
      <c r="U217" s="9">
        <f>MAX(amt_exemption-amt_exemption_phase_out_rate*MAX(Table1[[#This Row],[taxable wages]]-amt_phase_out_begins,0),0)</f>
        <v>83800</v>
      </c>
      <c r="V2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1612</v>
      </c>
      <c r="W217" s="1">
        <f>IF(AND(Table1[[#This Row],[AMT Taxes]]&gt;Table1[[#This Row],[Regular Taxes Owed]],Table1[[#This Row],[AMT Taxes]]&gt;0),Table1[[#This Row],[AMT Taxes]]-Table1[[#This Row],[Regular Taxes Owed]],0)</f>
        <v>0</v>
      </c>
      <c r="X217" s="9">
        <f>Table1[[#This Row],[Extra Taxes From Amt]]+Table1[[#This Row],[Federal Taxes Owed (No AMT)]]</f>
        <v>1430</v>
      </c>
      <c r="Y217" s="9">
        <f>IF(Table1[[#This Row],[taxable wages]]&gt;obamacare_surcharge_amount,obamacare_surcharge_percent*(Table1[[#This Row],[taxable wages]]-obamacare_surcharge_amount),0)</f>
        <v>0</v>
      </c>
      <c r="Z217" s="9">
        <f>Table1[[#This Row],[Federal Taxes Owed (Includes AMT)]]+Table1[[#This Row],[Obamacare surcharge premium]]</f>
        <v>1430</v>
      </c>
      <c r="AA217" s="9">
        <f>Table1[[#This Row],[taxable wages]]-Table1[[#This Row],[Federal Taxes Owed2]]</f>
        <v>88570</v>
      </c>
      <c r="AB217" s="51">
        <f t="shared" si="21"/>
        <v>0.15</v>
      </c>
      <c r="AC217" s="41"/>
      <c r="AD217" s="13"/>
      <c r="AE217" s="13"/>
    </row>
    <row r="218" spans="2:31" x14ac:dyDescent="0.3">
      <c r="B218" s="41">
        <f t="shared" si="22"/>
        <v>90500</v>
      </c>
      <c r="C218" s="1">
        <f>Table1[[#This Row],[taxable wages]]</f>
        <v>90500</v>
      </c>
      <c r="D218" s="1">
        <f>Table1[[#This Row],[taxable wages]]+interest+dividends+short_term_capital_gains+long_term_capital_gains</f>
        <v>90500</v>
      </c>
      <c r="E218" s="1">
        <f>MAX(Table1[[#This Row],[earned income for EITC]:[Agi For Eitc Calc]])</f>
        <v>90500</v>
      </c>
      <c r="F218" s="1">
        <f>Table1[[#This Row],[taxable wages]]+interest+dividends+short_term_capital_gains+long_term_capital_gains-(trad_ira_contributions+MIN(student_loan_interest_cap,student_loan_interest))</f>
        <v>90500</v>
      </c>
      <c r="G218" s="1">
        <f t="shared" si="18"/>
        <v>12600</v>
      </c>
      <c r="H218" s="1">
        <f t="shared" si="19"/>
        <v>28350</v>
      </c>
      <c r="I218" s="1">
        <f>MAX(0,Table1[[#This Row],[Agi]]-Table1[[#This Row],[Exemptions]]-Table1[[#This Row],[Effective Deductions]])</f>
        <v>49550</v>
      </c>
      <c r="J2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6505</v>
      </c>
      <c r="K218" s="1">
        <f t="shared" si="20"/>
        <v>5000</v>
      </c>
      <c r="L218" s="1">
        <f>IF(Table1[[#This Row],[Agi]]&gt;ctc_phase_out_begins,ctc_phase_out_rate*(Table1[[#This Row],[Agi]]-ctc_phase_out_begins),0)</f>
        <v>0</v>
      </c>
      <c r="M218" s="1">
        <f>MAX(Table1[[#This Row],[Child Tax Credit]]-Table1[[#This Row],[Child Tax Credit Phase Out]],0)</f>
        <v>5000</v>
      </c>
      <c r="N218" s="1">
        <f>MAX(Table1[[#This Row],[Regular Taxes Owed]]-Table1[[#This Row],[Effective Child Tax Credit]],0)</f>
        <v>1505</v>
      </c>
      <c r="O218" s="1">
        <f>MAX(MIN((Table1[[#This Row],[taxable wages]]-3000)*0.15,1000*num_kids_16_younger),0)</f>
        <v>5000</v>
      </c>
      <c r="P218" s="9">
        <f>IF(Table1[[#This Row],[Effective Child Tax Credit]]&gt;Table1[[#This Row],[Regular Taxes Owed]],Table1[[#This Row],[Additional Child Tax Credit ]]-Table1[[#This Row],[Regular Taxes Owed]],0)</f>
        <v>0</v>
      </c>
      <c r="Q2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8" s="1">
        <f>Table1[[#This Row],[Effective Additional Child Tax Credit]]+Table1[[#This Row],[Eitc]]</f>
        <v>0</v>
      </c>
      <c r="S218" s="9">
        <f>Table1[[#This Row],[Regular Taxes Owed - Effective Child Tax Credit]]-Table1[[#This Row],[Total Credits]]</f>
        <v>1505</v>
      </c>
      <c r="T218" s="9">
        <f>Table1[[#This Row],[taxable wages]]+interest+dividends+short_term_capital_gains+long_term_capital_gains-(charitable_donations+mortgage_interest)</f>
        <v>90500</v>
      </c>
      <c r="U218" s="9">
        <f>MAX(amt_exemption-amt_exemption_phase_out_rate*MAX(Table1[[#This Row],[taxable wages]]-amt_phase_out_begins,0),0)</f>
        <v>83800</v>
      </c>
      <c r="V2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1742</v>
      </c>
      <c r="W218" s="1">
        <f>IF(AND(Table1[[#This Row],[AMT Taxes]]&gt;Table1[[#This Row],[Regular Taxes Owed]],Table1[[#This Row],[AMT Taxes]]&gt;0),Table1[[#This Row],[AMT Taxes]]-Table1[[#This Row],[Regular Taxes Owed]],0)</f>
        <v>0</v>
      </c>
      <c r="X218" s="9">
        <f>Table1[[#This Row],[Extra Taxes From Amt]]+Table1[[#This Row],[Federal Taxes Owed (No AMT)]]</f>
        <v>1505</v>
      </c>
      <c r="Y218" s="9">
        <f>IF(Table1[[#This Row],[taxable wages]]&gt;obamacare_surcharge_amount,obamacare_surcharge_percent*(Table1[[#This Row],[taxable wages]]-obamacare_surcharge_amount),0)</f>
        <v>0</v>
      </c>
      <c r="Z218" s="9">
        <f>Table1[[#This Row],[Federal Taxes Owed (Includes AMT)]]+Table1[[#This Row],[Obamacare surcharge premium]]</f>
        <v>1505</v>
      </c>
      <c r="AA218" s="9">
        <f>Table1[[#This Row],[taxable wages]]-Table1[[#This Row],[Federal Taxes Owed2]]</f>
        <v>88995</v>
      </c>
      <c r="AB218" s="51">
        <f t="shared" si="21"/>
        <v>0.15</v>
      </c>
      <c r="AC218" s="41"/>
      <c r="AD218" s="13"/>
      <c r="AE218" s="13"/>
    </row>
    <row r="219" spans="2:31" x14ac:dyDescent="0.3">
      <c r="B219" s="41">
        <f t="shared" si="22"/>
        <v>91000</v>
      </c>
      <c r="C219" s="1">
        <f>Table1[[#This Row],[taxable wages]]</f>
        <v>91000</v>
      </c>
      <c r="D219" s="1">
        <f>Table1[[#This Row],[taxable wages]]+interest+dividends+short_term_capital_gains+long_term_capital_gains</f>
        <v>91000</v>
      </c>
      <c r="E219" s="1">
        <f>MAX(Table1[[#This Row],[earned income for EITC]:[Agi For Eitc Calc]])</f>
        <v>91000</v>
      </c>
      <c r="F219" s="1">
        <f>Table1[[#This Row],[taxable wages]]+interest+dividends+short_term_capital_gains+long_term_capital_gains-(trad_ira_contributions+MIN(student_loan_interest_cap,student_loan_interest))</f>
        <v>91000</v>
      </c>
      <c r="G219" s="1">
        <f t="shared" si="18"/>
        <v>12600</v>
      </c>
      <c r="H219" s="1">
        <f t="shared" si="19"/>
        <v>28350</v>
      </c>
      <c r="I219" s="1">
        <f>MAX(0,Table1[[#This Row],[Agi]]-Table1[[#This Row],[Exemptions]]-Table1[[#This Row],[Effective Deductions]])</f>
        <v>50050</v>
      </c>
      <c r="J2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6580</v>
      </c>
      <c r="K219" s="1">
        <f t="shared" si="20"/>
        <v>5000</v>
      </c>
      <c r="L219" s="1">
        <f>IF(Table1[[#This Row],[Agi]]&gt;ctc_phase_out_begins,ctc_phase_out_rate*(Table1[[#This Row],[Agi]]-ctc_phase_out_begins),0)</f>
        <v>0</v>
      </c>
      <c r="M219" s="1">
        <f>MAX(Table1[[#This Row],[Child Tax Credit]]-Table1[[#This Row],[Child Tax Credit Phase Out]],0)</f>
        <v>5000</v>
      </c>
      <c r="N219" s="1">
        <f>MAX(Table1[[#This Row],[Regular Taxes Owed]]-Table1[[#This Row],[Effective Child Tax Credit]],0)</f>
        <v>1580</v>
      </c>
      <c r="O219" s="1">
        <f>MAX(MIN((Table1[[#This Row],[taxable wages]]-3000)*0.15,1000*num_kids_16_younger),0)</f>
        <v>5000</v>
      </c>
      <c r="P219" s="9">
        <f>IF(Table1[[#This Row],[Effective Child Tax Credit]]&gt;Table1[[#This Row],[Regular Taxes Owed]],Table1[[#This Row],[Additional Child Tax Credit ]]-Table1[[#This Row],[Regular Taxes Owed]],0)</f>
        <v>0</v>
      </c>
      <c r="Q2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19" s="1">
        <f>Table1[[#This Row],[Effective Additional Child Tax Credit]]+Table1[[#This Row],[Eitc]]</f>
        <v>0</v>
      </c>
      <c r="S219" s="9">
        <f>Table1[[#This Row],[Regular Taxes Owed - Effective Child Tax Credit]]-Table1[[#This Row],[Total Credits]]</f>
        <v>1580</v>
      </c>
      <c r="T219" s="9">
        <f>Table1[[#This Row],[taxable wages]]+interest+dividends+short_term_capital_gains+long_term_capital_gains-(charitable_donations+mortgage_interest)</f>
        <v>91000</v>
      </c>
      <c r="U219" s="9">
        <f>MAX(amt_exemption-amt_exemption_phase_out_rate*MAX(Table1[[#This Row],[taxable wages]]-amt_phase_out_begins,0),0)</f>
        <v>83800</v>
      </c>
      <c r="V2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1872</v>
      </c>
      <c r="W219" s="1">
        <f>IF(AND(Table1[[#This Row],[AMT Taxes]]&gt;Table1[[#This Row],[Regular Taxes Owed]],Table1[[#This Row],[AMT Taxes]]&gt;0),Table1[[#This Row],[AMT Taxes]]-Table1[[#This Row],[Regular Taxes Owed]],0)</f>
        <v>0</v>
      </c>
      <c r="X219" s="9">
        <f>Table1[[#This Row],[Extra Taxes From Amt]]+Table1[[#This Row],[Federal Taxes Owed (No AMT)]]</f>
        <v>1580</v>
      </c>
      <c r="Y219" s="9">
        <f>IF(Table1[[#This Row],[taxable wages]]&gt;obamacare_surcharge_amount,obamacare_surcharge_percent*(Table1[[#This Row],[taxable wages]]-obamacare_surcharge_amount),0)</f>
        <v>0</v>
      </c>
      <c r="Z219" s="9">
        <f>Table1[[#This Row],[Federal Taxes Owed (Includes AMT)]]+Table1[[#This Row],[Obamacare surcharge premium]]</f>
        <v>1580</v>
      </c>
      <c r="AA219" s="9">
        <f>Table1[[#This Row],[taxable wages]]-Table1[[#This Row],[Federal Taxes Owed2]]</f>
        <v>89420</v>
      </c>
      <c r="AB219" s="51">
        <f t="shared" si="21"/>
        <v>0.15</v>
      </c>
      <c r="AC219" s="41"/>
      <c r="AD219" s="13"/>
      <c r="AE219" s="13"/>
    </row>
    <row r="220" spans="2:31" x14ac:dyDescent="0.3">
      <c r="B220" s="41">
        <f t="shared" si="22"/>
        <v>91500</v>
      </c>
      <c r="C220" s="1">
        <f>Table1[[#This Row],[taxable wages]]</f>
        <v>91500</v>
      </c>
      <c r="D220" s="1">
        <f>Table1[[#This Row],[taxable wages]]+interest+dividends+short_term_capital_gains+long_term_capital_gains</f>
        <v>91500</v>
      </c>
      <c r="E220" s="1">
        <f>MAX(Table1[[#This Row],[earned income for EITC]:[Agi For Eitc Calc]])</f>
        <v>91500</v>
      </c>
      <c r="F220" s="1">
        <f>Table1[[#This Row],[taxable wages]]+interest+dividends+short_term_capital_gains+long_term_capital_gains-(trad_ira_contributions+MIN(student_loan_interest_cap,student_loan_interest))</f>
        <v>91500</v>
      </c>
      <c r="G220" s="1">
        <f t="shared" si="18"/>
        <v>12600</v>
      </c>
      <c r="H220" s="1">
        <f t="shared" si="19"/>
        <v>28350</v>
      </c>
      <c r="I220" s="1">
        <f>MAX(0,Table1[[#This Row],[Agi]]-Table1[[#This Row],[Exemptions]]-Table1[[#This Row],[Effective Deductions]])</f>
        <v>50550</v>
      </c>
      <c r="J2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6655</v>
      </c>
      <c r="K220" s="1">
        <f t="shared" si="20"/>
        <v>5000</v>
      </c>
      <c r="L220" s="1">
        <f>IF(Table1[[#This Row],[Agi]]&gt;ctc_phase_out_begins,ctc_phase_out_rate*(Table1[[#This Row],[Agi]]-ctc_phase_out_begins),0)</f>
        <v>0</v>
      </c>
      <c r="M220" s="1">
        <f>MAX(Table1[[#This Row],[Child Tax Credit]]-Table1[[#This Row],[Child Tax Credit Phase Out]],0)</f>
        <v>5000</v>
      </c>
      <c r="N220" s="1">
        <f>MAX(Table1[[#This Row],[Regular Taxes Owed]]-Table1[[#This Row],[Effective Child Tax Credit]],0)</f>
        <v>1655</v>
      </c>
      <c r="O220" s="1">
        <f>MAX(MIN((Table1[[#This Row],[taxable wages]]-3000)*0.15,1000*num_kids_16_younger),0)</f>
        <v>5000</v>
      </c>
      <c r="P220" s="9">
        <f>IF(Table1[[#This Row],[Effective Child Tax Credit]]&gt;Table1[[#This Row],[Regular Taxes Owed]],Table1[[#This Row],[Additional Child Tax Credit ]]-Table1[[#This Row],[Regular Taxes Owed]],0)</f>
        <v>0</v>
      </c>
      <c r="Q2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0" s="1">
        <f>Table1[[#This Row],[Effective Additional Child Tax Credit]]+Table1[[#This Row],[Eitc]]</f>
        <v>0</v>
      </c>
      <c r="S220" s="9">
        <f>Table1[[#This Row],[Regular Taxes Owed - Effective Child Tax Credit]]-Table1[[#This Row],[Total Credits]]</f>
        <v>1655</v>
      </c>
      <c r="T220" s="9">
        <f>Table1[[#This Row],[taxable wages]]+interest+dividends+short_term_capital_gains+long_term_capital_gains-(charitable_donations+mortgage_interest)</f>
        <v>91500</v>
      </c>
      <c r="U220" s="9">
        <f>MAX(amt_exemption-amt_exemption_phase_out_rate*MAX(Table1[[#This Row],[taxable wages]]-amt_phase_out_begins,0),0)</f>
        <v>83800</v>
      </c>
      <c r="V2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2002</v>
      </c>
      <c r="W220" s="1">
        <f>IF(AND(Table1[[#This Row],[AMT Taxes]]&gt;Table1[[#This Row],[Regular Taxes Owed]],Table1[[#This Row],[AMT Taxes]]&gt;0),Table1[[#This Row],[AMT Taxes]]-Table1[[#This Row],[Regular Taxes Owed]],0)</f>
        <v>0</v>
      </c>
      <c r="X220" s="9">
        <f>Table1[[#This Row],[Extra Taxes From Amt]]+Table1[[#This Row],[Federal Taxes Owed (No AMT)]]</f>
        <v>1655</v>
      </c>
      <c r="Y220" s="9">
        <f>IF(Table1[[#This Row],[taxable wages]]&gt;obamacare_surcharge_amount,obamacare_surcharge_percent*(Table1[[#This Row],[taxable wages]]-obamacare_surcharge_amount),0)</f>
        <v>0</v>
      </c>
      <c r="Z220" s="9">
        <f>Table1[[#This Row],[Federal Taxes Owed (Includes AMT)]]+Table1[[#This Row],[Obamacare surcharge premium]]</f>
        <v>1655</v>
      </c>
      <c r="AA220" s="9">
        <f>Table1[[#This Row],[taxable wages]]-Table1[[#This Row],[Federal Taxes Owed2]]</f>
        <v>89845</v>
      </c>
      <c r="AB220" s="51">
        <f t="shared" si="21"/>
        <v>0.15</v>
      </c>
      <c r="AC220" s="41"/>
      <c r="AD220" s="13"/>
      <c r="AE220" s="13"/>
    </row>
    <row r="221" spans="2:31" x14ac:dyDescent="0.3">
      <c r="B221" s="41">
        <f t="shared" si="22"/>
        <v>92000</v>
      </c>
      <c r="C221" s="1">
        <f>Table1[[#This Row],[taxable wages]]</f>
        <v>92000</v>
      </c>
      <c r="D221" s="1">
        <f>Table1[[#This Row],[taxable wages]]+interest+dividends+short_term_capital_gains+long_term_capital_gains</f>
        <v>92000</v>
      </c>
      <c r="E221" s="1">
        <f>MAX(Table1[[#This Row],[earned income for EITC]:[Agi For Eitc Calc]])</f>
        <v>92000</v>
      </c>
      <c r="F221" s="1">
        <f>Table1[[#This Row],[taxable wages]]+interest+dividends+short_term_capital_gains+long_term_capital_gains-(trad_ira_contributions+MIN(student_loan_interest_cap,student_loan_interest))</f>
        <v>92000</v>
      </c>
      <c r="G221" s="1">
        <f t="shared" si="18"/>
        <v>12600</v>
      </c>
      <c r="H221" s="1">
        <f t="shared" si="19"/>
        <v>28350</v>
      </c>
      <c r="I221" s="1">
        <f>MAX(0,Table1[[#This Row],[Agi]]-Table1[[#This Row],[Exemptions]]-Table1[[#This Row],[Effective Deductions]])</f>
        <v>51050</v>
      </c>
      <c r="J2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6730</v>
      </c>
      <c r="K221" s="1">
        <f t="shared" si="20"/>
        <v>5000</v>
      </c>
      <c r="L221" s="1">
        <f>IF(Table1[[#This Row],[Agi]]&gt;ctc_phase_out_begins,ctc_phase_out_rate*(Table1[[#This Row],[Agi]]-ctc_phase_out_begins),0)</f>
        <v>0</v>
      </c>
      <c r="M221" s="1">
        <f>MAX(Table1[[#This Row],[Child Tax Credit]]-Table1[[#This Row],[Child Tax Credit Phase Out]],0)</f>
        <v>5000</v>
      </c>
      <c r="N221" s="1">
        <f>MAX(Table1[[#This Row],[Regular Taxes Owed]]-Table1[[#This Row],[Effective Child Tax Credit]],0)</f>
        <v>1730</v>
      </c>
      <c r="O221" s="1">
        <f>MAX(MIN((Table1[[#This Row],[taxable wages]]-3000)*0.15,1000*num_kids_16_younger),0)</f>
        <v>5000</v>
      </c>
      <c r="P221" s="9">
        <f>IF(Table1[[#This Row],[Effective Child Tax Credit]]&gt;Table1[[#This Row],[Regular Taxes Owed]],Table1[[#This Row],[Additional Child Tax Credit ]]-Table1[[#This Row],[Regular Taxes Owed]],0)</f>
        <v>0</v>
      </c>
      <c r="Q2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1" s="1">
        <f>Table1[[#This Row],[Effective Additional Child Tax Credit]]+Table1[[#This Row],[Eitc]]</f>
        <v>0</v>
      </c>
      <c r="S221" s="9">
        <f>Table1[[#This Row],[Regular Taxes Owed - Effective Child Tax Credit]]-Table1[[#This Row],[Total Credits]]</f>
        <v>1730</v>
      </c>
      <c r="T221" s="9">
        <f>Table1[[#This Row],[taxable wages]]+interest+dividends+short_term_capital_gains+long_term_capital_gains-(charitable_donations+mortgage_interest)</f>
        <v>92000</v>
      </c>
      <c r="U221" s="9">
        <f>MAX(amt_exemption-amt_exemption_phase_out_rate*MAX(Table1[[#This Row],[taxable wages]]-amt_phase_out_begins,0),0)</f>
        <v>83800</v>
      </c>
      <c r="V2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2132</v>
      </c>
      <c r="W221" s="1">
        <f>IF(AND(Table1[[#This Row],[AMT Taxes]]&gt;Table1[[#This Row],[Regular Taxes Owed]],Table1[[#This Row],[AMT Taxes]]&gt;0),Table1[[#This Row],[AMT Taxes]]-Table1[[#This Row],[Regular Taxes Owed]],0)</f>
        <v>0</v>
      </c>
      <c r="X221" s="9">
        <f>Table1[[#This Row],[Extra Taxes From Amt]]+Table1[[#This Row],[Federal Taxes Owed (No AMT)]]</f>
        <v>1730</v>
      </c>
      <c r="Y221" s="9">
        <f>IF(Table1[[#This Row],[taxable wages]]&gt;obamacare_surcharge_amount,obamacare_surcharge_percent*(Table1[[#This Row],[taxable wages]]-obamacare_surcharge_amount),0)</f>
        <v>0</v>
      </c>
      <c r="Z221" s="9">
        <f>Table1[[#This Row],[Federal Taxes Owed (Includes AMT)]]+Table1[[#This Row],[Obamacare surcharge premium]]</f>
        <v>1730</v>
      </c>
      <c r="AA221" s="9">
        <f>Table1[[#This Row],[taxable wages]]-Table1[[#This Row],[Federal Taxes Owed2]]</f>
        <v>90270</v>
      </c>
      <c r="AB221" s="51">
        <f t="shared" si="21"/>
        <v>0.15</v>
      </c>
      <c r="AC221" s="41"/>
      <c r="AD221" s="13"/>
      <c r="AE221" s="13"/>
    </row>
    <row r="222" spans="2:31" x14ac:dyDescent="0.3">
      <c r="B222" s="41">
        <f t="shared" si="22"/>
        <v>92500</v>
      </c>
      <c r="C222" s="1">
        <f>Table1[[#This Row],[taxable wages]]</f>
        <v>92500</v>
      </c>
      <c r="D222" s="1">
        <f>Table1[[#This Row],[taxable wages]]+interest+dividends+short_term_capital_gains+long_term_capital_gains</f>
        <v>92500</v>
      </c>
      <c r="E222" s="1">
        <f>MAX(Table1[[#This Row],[earned income for EITC]:[Agi For Eitc Calc]])</f>
        <v>92500</v>
      </c>
      <c r="F222" s="1">
        <f>Table1[[#This Row],[taxable wages]]+interest+dividends+short_term_capital_gains+long_term_capital_gains-(trad_ira_contributions+MIN(student_loan_interest_cap,student_loan_interest))</f>
        <v>92500</v>
      </c>
      <c r="G222" s="1">
        <f t="shared" si="18"/>
        <v>12600</v>
      </c>
      <c r="H222" s="1">
        <f t="shared" si="19"/>
        <v>28350</v>
      </c>
      <c r="I222" s="1">
        <f>MAX(0,Table1[[#This Row],[Agi]]-Table1[[#This Row],[Exemptions]]-Table1[[#This Row],[Effective Deductions]])</f>
        <v>51550</v>
      </c>
      <c r="J2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6805</v>
      </c>
      <c r="K222" s="1">
        <f t="shared" si="20"/>
        <v>5000</v>
      </c>
      <c r="L222" s="1">
        <f>IF(Table1[[#This Row],[Agi]]&gt;ctc_phase_out_begins,ctc_phase_out_rate*(Table1[[#This Row],[Agi]]-ctc_phase_out_begins),0)</f>
        <v>0</v>
      </c>
      <c r="M222" s="1">
        <f>MAX(Table1[[#This Row],[Child Tax Credit]]-Table1[[#This Row],[Child Tax Credit Phase Out]],0)</f>
        <v>5000</v>
      </c>
      <c r="N222" s="1">
        <f>MAX(Table1[[#This Row],[Regular Taxes Owed]]-Table1[[#This Row],[Effective Child Tax Credit]],0)</f>
        <v>1805</v>
      </c>
      <c r="O222" s="1">
        <f>MAX(MIN((Table1[[#This Row],[taxable wages]]-3000)*0.15,1000*num_kids_16_younger),0)</f>
        <v>5000</v>
      </c>
      <c r="P222" s="9">
        <f>IF(Table1[[#This Row],[Effective Child Tax Credit]]&gt;Table1[[#This Row],[Regular Taxes Owed]],Table1[[#This Row],[Additional Child Tax Credit ]]-Table1[[#This Row],[Regular Taxes Owed]],0)</f>
        <v>0</v>
      </c>
      <c r="Q2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2" s="1">
        <f>Table1[[#This Row],[Effective Additional Child Tax Credit]]+Table1[[#This Row],[Eitc]]</f>
        <v>0</v>
      </c>
      <c r="S222" s="9">
        <f>Table1[[#This Row],[Regular Taxes Owed - Effective Child Tax Credit]]-Table1[[#This Row],[Total Credits]]</f>
        <v>1805</v>
      </c>
      <c r="T222" s="9">
        <f>Table1[[#This Row],[taxable wages]]+interest+dividends+short_term_capital_gains+long_term_capital_gains-(charitable_donations+mortgage_interest)</f>
        <v>92500</v>
      </c>
      <c r="U222" s="9">
        <f>MAX(amt_exemption-amt_exemption_phase_out_rate*MAX(Table1[[#This Row],[taxable wages]]-amt_phase_out_begins,0),0)</f>
        <v>83800</v>
      </c>
      <c r="V2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2262</v>
      </c>
      <c r="W222" s="1">
        <f>IF(AND(Table1[[#This Row],[AMT Taxes]]&gt;Table1[[#This Row],[Regular Taxes Owed]],Table1[[#This Row],[AMT Taxes]]&gt;0),Table1[[#This Row],[AMT Taxes]]-Table1[[#This Row],[Regular Taxes Owed]],0)</f>
        <v>0</v>
      </c>
      <c r="X222" s="9">
        <f>Table1[[#This Row],[Extra Taxes From Amt]]+Table1[[#This Row],[Federal Taxes Owed (No AMT)]]</f>
        <v>1805</v>
      </c>
      <c r="Y222" s="9">
        <f>IF(Table1[[#This Row],[taxable wages]]&gt;obamacare_surcharge_amount,obamacare_surcharge_percent*(Table1[[#This Row],[taxable wages]]-obamacare_surcharge_amount),0)</f>
        <v>0</v>
      </c>
      <c r="Z222" s="9">
        <f>Table1[[#This Row],[Federal Taxes Owed (Includes AMT)]]+Table1[[#This Row],[Obamacare surcharge premium]]</f>
        <v>1805</v>
      </c>
      <c r="AA222" s="9">
        <f>Table1[[#This Row],[taxable wages]]-Table1[[#This Row],[Federal Taxes Owed2]]</f>
        <v>90695</v>
      </c>
      <c r="AB222" s="51">
        <f t="shared" si="21"/>
        <v>0.15</v>
      </c>
      <c r="AC222" s="41"/>
      <c r="AD222" s="13"/>
      <c r="AE222" s="13"/>
    </row>
    <row r="223" spans="2:31" x14ac:dyDescent="0.3">
      <c r="B223" s="41">
        <f t="shared" si="22"/>
        <v>93000</v>
      </c>
      <c r="C223" s="1">
        <f>Table1[[#This Row],[taxable wages]]</f>
        <v>93000</v>
      </c>
      <c r="D223" s="1">
        <f>Table1[[#This Row],[taxable wages]]+interest+dividends+short_term_capital_gains+long_term_capital_gains</f>
        <v>93000</v>
      </c>
      <c r="E223" s="1">
        <f>MAX(Table1[[#This Row],[earned income for EITC]:[Agi For Eitc Calc]])</f>
        <v>93000</v>
      </c>
      <c r="F223" s="1">
        <f>Table1[[#This Row],[taxable wages]]+interest+dividends+short_term_capital_gains+long_term_capital_gains-(trad_ira_contributions+MIN(student_loan_interest_cap,student_loan_interest))</f>
        <v>93000</v>
      </c>
      <c r="G223" s="1">
        <f t="shared" si="18"/>
        <v>12600</v>
      </c>
      <c r="H223" s="1">
        <f t="shared" si="19"/>
        <v>28350</v>
      </c>
      <c r="I223" s="1">
        <f>MAX(0,Table1[[#This Row],[Agi]]-Table1[[#This Row],[Exemptions]]-Table1[[#This Row],[Effective Deductions]])</f>
        <v>52050</v>
      </c>
      <c r="J2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6880</v>
      </c>
      <c r="K223" s="1">
        <f t="shared" si="20"/>
        <v>5000</v>
      </c>
      <c r="L223" s="1">
        <f>IF(Table1[[#This Row],[Agi]]&gt;ctc_phase_out_begins,ctc_phase_out_rate*(Table1[[#This Row],[Agi]]-ctc_phase_out_begins),0)</f>
        <v>0</v>
      </c>
      <c r="M223" s="1">
        <f>MAX(Table1[[#This Row],[Child Tax Credit]]-Table1[[#This Row],[Child Tax Credit Phase Out]],0)</f>
        <v>5000</v>
      </c>
      <c r="N223" s="1">
        <f>MAX(Table1[[#This Row],[Regular Taxes Owed]]-Table1[[#This Row],[Effective Child Tax Credit]],0)</f>
        <v>1880</v>
      </c>
      <c r="O223" s="1">
        <f>MAX(MIN((Table1[[#This Row],[taxable wages]]-3000)*0.15,1000*num_kids_16_younger),0)</f>
        <v>5000</v>
      </c>
      <c r="P223" s="9">
        <f>IF(Table1[[#This Row],[Effective Child Tax Credit]]&gt;Table1[[#This Row],[Regular Taxes Owed]],Table1[[#This Row],[Additional Child Tax Credit ]]-Table1[[#This Row],[Regular Taxes Owed]],0)</f>
        <v>0</v>
      </c>
      <c r="Q2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3" s="1">
        <f>Table1[[#This Row],[Effective Additional Child Tax Credit]]+Table1[[#This Row],[Eitc]]</f>
        <v>0</v>
      </c>
      <c r="S223" s="9">
        <f>Table1[[#This Row],[Regular Taxes Owed - Effective Child Tax Credit]]-Table1[[#This Row],[Total Credits]]</f>
        <v>1880</v>
      </c>
      <c r="T223" s="9">
        <f>Table1[[#This Row],[taxable wages]]+interest+dividends+short_term_capital_gains+long_term_capital_gains-(charitable_donations+mortgage_interest)</f>
        <v>93000</v>
      </c>
      <c r="U223" s="9">
        <f>MAX(amt_exemption-amt_exemption_phase_out_rate*MAX(Table1[[#This Row],[taxable wages]]-amt_phase_out_begins,0),0)</f>
        <v>83800</v>
      </c>
      <c r="V2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2392</v>
      </c>
      <c r="W223" s="1">
        <f>IF(AND(Table1[[#This Row],[AMT Taxes]]&gt;Table1[[#This Row],[Regular Taxes Owed]],Table1[[#This Row],[AMT Taxes]]&gt;0),Table1[[#This Row],[AMT Taxes]]-Table1[[#This Row],[Regular Taxes Owed]],0)</f>
        <v>0</v>
      </c>
      <c r="X223" s="9">
        <f>Table1[[#This Row],[Extra Taxes From Amt]]+Table1[[#This Row],[Federal Taxes Owed (No AMT)]]</f>
        <v>1880</v>
      </c>
      <c r="Y223" s="9">
        <f>IF(Table1[[#This Row],[taxable wages]]&gt;obamacare_surcharge_amount,obamacare_surcharge_percent*(Table1[[#This Row],[taxable wages]]-obamacare_surcharge_amount),0)</f>
        <v>0</v>
      </c>
      <c r="Z223" s="9">
        <f>Table1[[#This Row],[Federal Taxes Owed (Includes AMT)]]+Table1[[#This Row],[Obamacare surcharge premium]]</f>
        <v>1880</v>
      </c>
      <c r="AA223" s="9">
        <f>Table1[[#This Row],[taxable wages]]-Table1[[#This Row],[Federal Taxes Owed2]]</f>
        <v>91120</v>
      </c>
      <c r="AB223" s="51">
        <f t="shared" si="21"/>
        <v>0.15</v>
      </c>
      <c r="AC223" s="41"/>
      <c r="AD223" s="13"/>
      <c r="AE223" s="13"/>
    </row>
    <row r="224" spans="2:31" x14ac:dyDescent="0.3">
      <c r="B224" s="41">
        <f t="shared" si="22"/>
        <v>93500</v>
      </c>
      <c r="C224" s="1">
        <f>Table1[[#This Row],[taxable wages]]</f>
        <v>93500</v>
      </c>
      <c r="D224" s="1">
        <f>Table1[[#This Row],[taxable wages]]+interest+dividends+short_term_capital_gains+long_term_capital_gains</f>
        <v>93500</v>
      </c>
      <c r="E224" s="1">
        <f>MAX(Table1[[#This Row],[earned income for EITC]:[Agi For Eitc Calc]])</f>
        <v>93500</v>
      </c>
      <c r="F224" s="1">
        <f>Table1[[#This Row],[taxable wages]]+interest+dividends+short_term_capital_gains+long_term_capital_gains-(trad_ira_contributions+MIN(student_loan_interest_cap,student_loan_interest))</f>
        <v>93500</v>
      </c>
      <c r="G224" s="1">
        <f t="shared" si="18"/>
        <v>12600</v>
      </c>
      <c r="H224" s="1">
        <f t="shared" si="19"/>
        <v>28350</v>
      </c>
      <c r="I224" s="1">
        <f>MAX(0,Table1[[#This Row],[Agi]]-Table1[[#This Row],[Exemptions]]-Table1[[#This Row],[Effective Deductions]])</f>
        <v>52550</v>
      </c>
      <c r="J2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6955</v>
      </c>
      <c r="K224" s="1">
        <f t="shared" si="20"/>
        <v>5000</v>
      </c>
      <c r="L224" s="1">
        <f>IF(Table1[[#This Row],[Agi]]&gt;ctc_phase_out_begins,ctc_phase_out_rate*(Table1[[#This Row],[Agi]]-ctc_phase_out_begins),0)</f>
        <v>0</v>
      </c>
      <c r="M224" s="1">
        <f>MAX(Table1[[#This Row],[Child Tax Credit]]-Table1[[#This Row],[Child Tax Credit Phase Out]],0)</f>
        <v>5000</v>
      </c>
      <c r="N224" s="1">
        <f>MAX(Table1[[#This Row],[Regular Taxes Owed]]-Table1[[#This Row],[Effective Child Tax Credit]],0)</f>
        <v>1955</v>
      </c>
      <c r="O224" s="1">
        <f>MAX(MIN((Table1[[#This Row],[taxable wages]]-3000)*0.15,1000*num_kids_16_younger),0)</f>
        <v>5000</v>
      </c>
      <c r="P224" s="9">
        <f>IF(Table1[[#This Row],[Effective Child Tax Credit]]&gt;Table1[[#This Row],[Regular Taxes Owed]],Table1[[#This Row],[Additional Child Tax Credit ]]-Table1[[#This Row],[Regular Taxes Owed]],0)</f>
        <v>0</v>
      </c>
      <c r="Q2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4" s="1">
        <f>Table1[[#This Row],[Effective Additional Child Tax Credit]]+Table1[[#This Row],[Eitc]]</f>
        <v>0</v>
      </c>
      <c r="S224" s="9">
        <f>Table1[[#This Row],[Regular Taxes Owed - Effective Child Tax Credit]]-Table1[[#This Row],[Total Credits]]</f>
        <v>1955</v>
      </c>
      <c r="T224" s="9">
        <f>Table1[[#This Row],[taxable wages]]+interest+dividends+short_term_capital_gains+long_term_capital_gains-(charitable_donations+mortgage_interest)</f>
        <v>93500</v>
      </c>
      <c r="U224" s="9">
        <f>MAX(amt_exemption-amt_exemption_phase_out_rate*MAX(Table1[[#This Row],[taxable wages]]-amt_phase_out_begins,0),0)</f>
        <v>83800</v>
      </c>
      <c r="V2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2522</v>
      </c>
      <c r="W224" s="1">
        <f>IF(AND(Table1[[#This Row],[AMT Taxes]]&gt;Table1[[#This Row],[Regular Taxes Owed]],Table1[[#This Row],[AMT Taxes]]&gt;0),Table1[[#This Row],[AMT Taxes]]-Table1[[#This Row],[Regular Taxes Owed]],0)</f>
        <v>0</v>
      </c>
      <c r="X224" s="9">
        <f>Table1[[#This Row],[Extra Taxes From Amt]]+Table1[[#This Row],[Federal Taxes Owed (No AMT)]]</f>
        <v>1955</v>
      </c>
      <c r="Y224" s="9">
        <f>IF(Table1[[#This Row],[taxable wages]]&gt;obamacare_surcharge_amount,obamacare_surcharge_percent*(Table1[[#This Row],[taxable wages]]-obamacare_surcharge_amount),0)</f>
        <v>0</v>
      </c>
      <c r="Z224" s="9">
        <f>Table1[[#This Row],[Federal Taxes Owed (Includes AMT)]]+Table1[[#This Row],[Obamacare surcharge premium]]</f>
        <v>1955</v>
      </c>
      <c r="AA224" s="9">
        <f>Table1[[#This Row],[taxable wages]]-Table1[[#This Row],[Federal Taxes Owed2]]</f>
        <v>91545</v>
      </c>
      <c r="AB224" s="51">
        <f t="shared" si="21"/>
        <v>0.15</v>
      </c>
      <c r="AC224" s="41"/>
      <c r="AD224" s="13"/>
      <c r="AE224" s="13"/>
    </row>
    <row r="225" spans="2:31" x14ac:dyDescent="0.3">
      <c r="B225" s="41">
        <f t="shared" si="22"/>
        <v>94000</v>
      </c>
      <c r="C225" s="1">
        <f>Table1[[#This Row],[taxable wages]]</f>
        <v>94000</v>
      </c>
      <c r="D225" s="1">
        <f>Table1[[#This Row],[taxable wages]]+interest+dividends+short_term_capital_gains+long_term_capital_gains</f>
        <v>94000</v>
      </c>
      <c r="E225" s="1">
        <f>MAX(Table1[[#This Row],[earned income for EITC]:[Agi For Eitc Calc]])</f>
        <v>94000</v>
      </c>
      <c r="F225" s="1">
        <f>Table1[[#This Row],[taxable wages]]+interest+dividends+short_term_capital_gains+long_term_capital_gains-(trad_ira_contributions+MIN(student_loan_interest_cap,student_loan_interest))</f>
        <v>94000</v>
      </c>
      <c r="G225" s="1">
        <f t="shared" si="18"/>
        <v>12600</v>
      </c>
      <c r="H225" s="1">
        <f t="shared" si="19"/>
        <v>28350</v>
      </c>
      <c r="I225" s="1">
        <f>MAX(0,Table1[[#This Row],[Agi]]-Table1[[#This Row],[Exemptions]]-Table1[[#This Row],[Effective Deductions]])</f>
        <v>53050</v>
      </c>
      <c r="J2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7030</v>
      </c>
      <c r="K225" s="1">
        <f t="shared" si="20"/>
        <v>5000</v>
      </c>
      <c r="L225" s="1">
        <f>IF(Table1[[#This Row],[Agi]]&gt;ctc_phase_out_begins,ctc_phase_out_rate*(Table1[[#This Row],[Agi]]-ctc_phase_out_begins),0)</f>
        <v>0</v>
      </c>
      <c r="M225" s="1">
        <f>MAX(Table1[[#This Row],[Child Tax Credit]]-Table1[[#This Row],[Child Tax Credit Phase Out]],0)</f>
        <v>5000</v>
      </c>
      <c r="N225" s="1">
        <f>MAX(Table1[[#This Row],[Regular Taxes Owed]]-Table1[[#This Row],[Effective Child Tax Credit]],0)</f>
        <v>2030</v>
      </c>
      <c r="O225" s="1">
        <f>MAX(MIN((Table1[[#This Row],[taxable wages]]-3000)*0.15,1000*num_kids_16_younger),0)</f>
        <v>5000</v>
      </c>
      <c r="P225" s="9">
        <f>IF(Table1[[#This Row],[Effective Child Tax Credit]]&gt;Table1[[#This Row],[Regular Taxes Owed]],Table1[[#This Row],[Additional Child Tax Credit ]]-Table1[[#This Row],[Regular Taxes Owed]],0)</f>
        <v>0</v>
      </c>
      <c r="Q2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5" s="1">
        <f>Table1[[#This Row],[Effective Additional Child Tax Credit]]+Table1[[#This Row],[Eitc]]</f>
        <v>0</v>
      </c>
      <c r="S225" s="9">
        <f>Table1[[#This Row],[Regular Taxes Owed - Effective Child Tax Credit]]-Table1[[#This Row],[Total Credits]]</f>
        <v>2030</v>
      </c>
      <c r="T225" s="9">
        <f>Table1[[#This Row],[taxable wages]]+interest+dividends+short_term_capital_gains+long_term_capital_gains-(charitable_donations+mortgage_interest)</f>
        <v>94000</v>
      </c>
      <c r="U225" s="9">
        <f>MAX(amt_exemption-amt_exemption_phase_out_rate*MAX(Table1[[#This Row],[taxable wages]]-amt_phase_out_begins,0),0)</f>
        <v>83800</v>
      </c>
      <c r="V2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2652</v>
      </c>
      <c r="W225" s="1">
        <f>IF(AND(Table1[[#This Row],[AMT Taxes]]&gt;Table1[[#This Row],[Regular Taxes Owed]],Table1[[#This Row],[AMT Taxes]]&gt;0),Table1[[#This Row],[AMT Taxes]]-Table1[[#This Row],[Regular Taxes Owed]],0)</f>
        <v>0</v>
      </c>
      <c r="X225" s="9">
        <f>Table1[[#This Row],[Extra Taxes From Amt]]+Table1[[#This Row],[Federal Taxes Owed (No AMT)]]</f>
        <v>2030</v>
      </c>
      <c r="Y225" s="9">
        <f>IF(Table1[[#This Row],[taxable wages]]&gt;obamacare_surcharge_amount,obamacare_surcharge_percent*(Table1[[#This Row],[taxable wages]]-obamacare_surcharge_amount),0)</f>
        <v>0</v>
      </c>
      <c r="Z225" s="9">
        <f>Table1[[#This Row],[Federal Taxes Owed (Includes AMT)]]+Table1[[#This Row],[Obamacare surcharge premium]]</f>
        <v>2030</v>
      </c>
      <c r="AA225" s="9">
        <f>Table1[[#This Row],[taxable wages]]-Table1[[#This Row],[Federal Taxes Owed2]]</f>
        <v>91970</v>
      </c>
      <c r="AB225" s="51">
        <f t="shared" si="21"/>
        <v>0.15</v>
      </c>
      <c r="AC225" s="41"/>
      <c r="AD225" s="13"/>
      <c r="AE225" s="13"/>
    </row>
    <row r="226" spans="2:31" x14ac:dyDescent="0.3">
      <c r="B226" s="41">
        <f t="shared" si="22"/>
        <v>94500</v>
      </c>
      <c r="C226" s="1">
        <f>Table1[[#This Row],[taxable wages]]</f>
        <v>94500</v>
      </c>
      <c r="D226" s="1">
        <f>Table1[[#This Row],[taxable wages]]+interest+dividends+short_term_capital_gains+long_term_capital_gains</f>
        <v>94500</v>
      </c>
      <c r="E226" s="1">
        <f>MAX(Table1[[#This Row],[earned income for EITC]:[Agi For Eitc Calc]])</f>
        <v>94500</v>
      </c>
      <c r="F226" s="1">
        <f>Table1[[#This Row],[taxable wages]]+interest+dividends+short_term_capital_gains+long_term_capital_gains-(trad_ira_contributions+MIN(student_loan_interest_cap,student_loan_interest))</f>
        <v>94500</v>
      </c>
      <c r="G226" s="1">
        <f t="shared" si="18"/>
        <v>12600</v>
      </c>
      <c r="H226" s="1">
        <f t="shared" si="19"/>
        <v>28350</v>
      </c>
      <c r="I226" s="1">
        <f>MAX(0,Table1[[#This Row],[Agi]]-Table1[[#This Row],[Exemptions]]-Table1[[#This Row],[Effective Deductions]])</f>
        <v>53550</v>
      </c>
      <c r="J2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7105</v>
      </c>
      <c r="K226" s="1">
        <f t="shared" si="20"/>
        <v>5000</v>
      </c>
      <c r="L226" s="1">
        <f>IF(Table1[[#This Row],[Agi]]&gt;ctc_phase_out_begins,ctc_phase_out_rate*(Table1[[#This Row],[Agi]]-ctc_phase_out_begins),0)</f>
        <v>0</v>
      </c>
      <c r="M226" s="1">
        <f>MAX(Table1[[#This Row],[Child Tax Credit]]-Table1[[#This Row],[Child Tax Credit Phase Out]],0)</f>
        <v>5000</v>
      </c>
      <c r="N226" s="1">
        <f>MAX(Table1[[#This Row],[Regular Taxes Owed]]-Table1[[#This Row],[Effective Child Tax Credit]],0)</f>
        <v>2105</v>
      </c>
      <c r="O226" s="1">
        <f>MAX(MIN((Table1[[#This Row],[taxable wages]]-3000)*0.15,1000*num_kids_16_younger),0)</f>
        <v>5000</v>
      </c>
      <c r="P226" s="9">
        <f>IF(Table1[[#This Row],[Effective Child Tax Credit]]&gt;Table1[[#This Row],[Regular Taxes Owed]],Table1[[#This Row],[Additional Child Tax Credit ]]-Table1[[#This Row],[Regular Taxes Owed]],0)</f>
        <v>0</v>
      </c>
      <c r="Q2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6" s="1">
        <f>Table1[[#This Row],[Effective Additional Child Tax Credit]]+Table1[[#This Row],[Eitc]]</f>
        <v>0</v>
      </c>
      <c r="S226" s="9">
        <f>Table1[[#This Row],[Regular Taxes Owed - Effective Child Tax Credit]]-Table1[[#This Row],[Total Credits]]</f>
        <v>2105</v>
      </c>
      <c r="T226" s="9">
        <f>Table1[[#This Row],[taxable wages]]+interest+dividends+short_term_capital_gains+long_term_capital_gains-(charitable_donations+mortgage_interest)</f>
        <v>94500</v>
      </c>
      <c r="U226" s="9">
        <f>MAX(amt_exemption-amt_exemption_phase_out_rate*MAX(Table1[[#This Row],[taxable wages]]-amt_phase_out_begins,0),0)</f>
        <v>83800</v>
      </c>
      <c r="V2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2782</v>
      </c>
      <c r="W226" s="1">
        <f>IF(AND(Table1[[#This Row],[AMT Taxes]]&gt;Table1[[#This Row],[Regular Taxes Owed]],Table1[[#This Row],[AMT Taxes]]&gt;0),Table1[[#This Row],[AMT Taxes]]-Table1[[#This Row],[Regular Taxes Owed]],0)</f>
        <v>0</v>
      </c>
      <c r="X226" s="9">
        <f>Table1[[#This Row],[Extra Taxes From Amt]]+Table1[[#This Row],[Federal Taxes Owed (No AMT)]]</f>
        <v>2105</v>
      </c>
      <c r="Y226" s="9">
        <f>IF(Table1[[#This Row],[taxable wages]]&gt;obamacare_surcharge_amount,obamacare_surcharge_percent*(Table1[[#This Row],[taxable wages]]-obamacare_surcharge_amount),0)</f>
        <v>0</v>
      </c>
      <c r="Z226" s="9">
        <f>Table1[[#This Row],[Federal Taxes Owed (Includes AMT)]]+Table1[[#This Row],[Obamacare surcharge premium]]</f>
        <v>2105</v>
      </c>
      <c r="AA226" s="9">
        <f>Table1[[#This Row],[taxable wages]]-Table1[[#This Row],[Federal Taxes Owed2]]</f>
        <v>92395</v>
      </c>
      <c r="AB226" s="51">
        <f t="shared" si="21"/>
        <v>0.15</v>
      </c>
      <c r="AC226" s="41"/>
      <c r="AD226" s="13"/>
      <c r="AE226" s="13"/>
    </row>
    <row r="227" spans="2:31" x14ac:dyDescent="0.3">
      <c r="B227" s="41">
        <f t="shared" si="22"/>
        <v>95000</v>
      </c>
      <c r="C227" s="1">
        <f>Table1[[#This Row],[taxable wages]]</f>
        <v>95000</v>
      </c>
      <c r="D227" s="1">
        <f>Table1[[#This Row],[taxable wages]]+interest+dividends+short_term_capital_gains+long_term_capital_gains</f>
        <v>95000</v>
      </c>
      <c r="E227" s="1">
        <f>MAX(Table1[[#This Row],[earned income for EITC]:[Agi For Eitc Calc]])</f>
        <v>95000</v>
      </c>
      <c r="F227" s="1">
        <f>Table1[[#This Row],[taxable wages]]+interest+dividends+short_term_capital_gains+long_term_capital_gains-(trad_ira_contributions+MIN(student_loan_interest_cap,student_loan_interest))</f>
        <v>95000</v>
      </c>
      <c r="G227" s="1">
        <f t="shared" si="18"/>
        <v>12600</v>
      </c>
      <c r="H227" s="1">
        <f t="shared" si="19"/>
        <v>28350</v>
      </c>
      <c r="I227" s="1">
        <f>MAX(0,Table1[[#This Row],[Agi]]-Table1[[#This Row],[Exemptions]]-Table1[[#This Row],[Effective Deductions]])</f>
        <v>54050</v>
      </c>
      <c r="J2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7180</v>
      </c>
      <c r="K227" s="1">
        <f t="shared" si="20"/>
        <v>5000</v>
      </c>
      <c r="L227" s="1">
        <f>IF(Table1[[#This Row],[Agi]]&gt;ctc_phase_out_begins,ctc_phase_out_rate*(Table1[[#This Row],[Agi]]-ctc_phase_out_begins),0)</f>
        <v>0</v>
      </c>
      <c r="M227" s="1">
        <f>MAX(Table1[[#This Row],[Child Tax Credit]]-Table1[[#This Row],[Child Tax Credit Phase Out]],0)</f>
        <v>5000</v>
      </c>
      <c r="N227" s="1">
        <f>MAX(Table1[[#This Row],[Regular Taxes Owed]]-Table1[[#This Row],[Effective Child Tax Credit]],0)</f>
        <v>2180</v>
      </c>
      <c r="O227" s="1">
        <f>MAX(MIN((Table1[[#This Row],[taxable wages]]-3000)*0.15,1000*num_kids_16_younger),0)</f>
        <v>5000</v>
      </c>
      <c r="P227" s="9">
        <f>IF(Table1[[#This Row],[Effective Child Tax Credit]]&gt;Table1[[#This Row],[Regular Taxes Owed]],Table1[[#This Row],[Additional Child Tax Credit ]]-Table1[[#This Row],[Regular Taxes Owed]],0)</f>
        <v>0</v>
      </c>
      <c r="Q2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7" s="1">
        <f>Table1[[#This Row],[Effective Additional Child Tax Credit]]+Table1[[#This Row],[Eitc]]</f>
        <v>0</v>
      </c>
      <c r="S227" s="9">
        <f>Table1[[#This Row],[Regular Taxes Owed - Effective Child Tax Credit]]-Table1[[#This Row],[Total Credits]]</f>
        <v>2180</v>
      </c>
      <c r="T227" s="9">
        <f>Table1[[#This Row],[taxable wages]]+interest+dividends+short_term_capital_gains+long_term_capital_gains-(charitable_donations+mortgage_interest)</f>
        <v>95000</v>
      </c>
      <c r="U227" s="9">
        <f>MAX(amt_exemption-amt_exemption_phase_out_rate*MAX(Table1[[#This Row],[taxable wages]]-amt_phase_out_begins,0),0)</f>
        <v>83800</v>
      </c>
      <c r="V2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2912</v>
      </c>
      <c r="W227" s="1">
        <f>IF(AND(Table1[[#This Row],[AMT Taxes]]&gt;Table1[[#This Row],[Regular Taxes Owed]],Table1[[#This Row],[AMT Taxes]]&gt;0),Table1[[#This Row],[AMT Taxes]]-Table1[[#This Row],[Regular Taxes Owed]],0)</f>
        <v>0</v>
      </c>
      <c r="X227" s="9">
        <f>Table1[[#This Row],[Extra Taxes From Amt]]+Table1[[#This Row],[Federal Taxes Owed (No AMT)]]</f>
        <v>2180</v>
      </c>
      <c r="Y227" s="9">
        <f>IF(Table1[[#This Row],[taxable wages]]&gt;obamacare_surcharge_amount,obamacare_surcharge_percent*(Table1[[#This Row],[taxable wages]]-obamacare_surcharge_amount),0)</f>
        <v>0</v>
      </c>
      <c r="Z227" s="9">
        <f>Table1[[#This Row],[Federal Taxes Owed (Includes AMT)]]+Table1[[#This Row],[Obamacare surcharge premium]]</f>
        <v>2180</v>
      </c>
      <c r="AA227" s="9">
        <f>Table1[[#This Row],[taxable wages]]-Table1[[#This Row],[Federal Taxes Owed2]]</f>
        <v>92820</v>
      </c>
      <c r="AB227" s="51">
        <f t="shared" si="21"/>
        <v>0.15</v>
      </c>
      <c r="AC227" s="41"/>
      <c r="AD227" s="13"/>
      <c r="AE227" s="13"/>
    </row>
    <row r="228" spans="2:31" x14ac:dyDescent="0.3">
      <c r="B228" s="41">
        <f t="shared" si="22"/>
        <v>95500</v>
      </c>
      <c r="C228" s="1">
        <f>Table1[[#This Row],[taxable wages]]</f>
        <v>95500</v>
      </c>
      <c r="D228" s="1">
        <f>Table1[[#This Row],[taxable wages]]+interest+dividends+short_term_capital_gains+long_term_capital_gains</f>
        <v>95500</v>
      </c>
      <c r="E228" s="1">
        <f>MAX(Table1[[#This Row],[earned income for EITC]:[Agi For Eitc Calc]])</f>
        <v>95500</v>
      </c>
      <c r="F228" s="1">
        <f>Table1[[#This Row],[taxable wages]]+interest+dividends+short_term_capital_gains+long_term_capital_gains-(trad_ira_contributions+MIN(student_loan_interest_cap,student_loan_interest))</f>
        <v>95500</v>
      </c>
      <c r="G228" s="1">
        <f t="shared" si="18"/>
        <v>12600</v>
      </c>
      <c r="H228" s="1">
        <f t="shared" si="19"/>
        <v>28350</v>
      </c>
      <c r="I228" s="1">
        <f>MAX(0,Table1[[#This Row],[Agi]]-Table1[[#This Row],[Exemptions]]-Table1[[#This Row],[Effective Deductions]])</f>
        <v>54550</v>
      </c>
      <c r="J2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7255</v>
      </c>
      <c r="K228" s="1">
        <f t="shared" si="20"/>
        <v>5000</v>
      </c>
      <c r="L228" s="1">
        <f>IF(Table1[[#This Row],[Agi]]&gt;ctc_phase_out_begins,ctc_phase_out_rate*(Table1[[#This Row],[Agi]]-ctc_phase_out_begins),0)</f>
        <v>0</v>
      </c>
      <c r="M228" s="1">
        <f>MAX(Table1[[#This Row],[Child Tax Credit]]-Table1[[#This Row],[Child Tax Credit Phase Out]],0)</f>
        <v>5000</v>
      </c>
      <c r="N228" s="1">
        <f>MAX(Table1[[#This Row],[Regular Taxes Owed]]-Table1[[#This Row],[Effective Child Tax Credit]],0)</f>
        <v>2255</v>
      </c>
      <c r="O228" s="1">
        <f>MAX(MIN((Table1[[#This Row],[taxable wages]]-3000)*0.15,1000*num_kids_16_younger),0)</f>
        <v>5000</v>
      </c>
      <c r="P228" s="9">
        <f>IF(Table1[[#This Row],[Effective Child Tax Credit]]&gt;Table1[[#This Row],[Regular Taxes Owed]],Table1[[#This Row],[Additional Child Tax Credit ]]-Table1[[#This Row],[Regular Taxes Owed]],0)</f>
        <v>0</v>
      </c>
      <c r="Q2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8" s="1">
        <f>Table1[[#This Row],[Effective Additional Child Tax Credit]]+Table1[[#This Row],[Eitc]]</f>
        <v>0</v>
      </c>
      <c r="S228" s="9">
        <f>Table1[[#This Row],[Regular Taxes Owed - Effective Child Tax Credit]]-Table1[[#This Row],[Total Credits]]</f>
        <v>2255</v>
      </c>
      <c r="T228" s="9">
        <f>Table1[[#This Row],[taxable wages]]+interest+dividends+short_term_capital_gains+long_term_capital_gains-(charitable_donations+mortgage_interest)</f>
        <v>95500</v>
      </c>
      <c r="U228" s="9">
        <f>MAX(amt_exemption-amt_exemption_phase_out_rate*MAX(Table1[[#This Row],[taxable wages]]-amt_phase_out_begins,0),0)</f>
        <v>83800</v>
      </c>
      <c r="V2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3042</v>
      </c>
      <c r="W228" s="1">
        <f>IF(AND(Table1[[#This Row],[AMT Taxes]]&gt;Table1[[#This Row],[Regular Taxes Owed]],Table1[[#This Row],[AMT Taxes]]&gt;0),Table1[[#This Row],[AMT Taxes]]-Table1[[#This Row],[Regular Taxes Owed]],0)</f>
        <v>0</v>
      </c>
      <c r="X228" s="9">
        <f>Table1[[#This Row],[Extra Taxes From Amt]]+Table1[[#This Row],[Federal Taxes Owed (No AMT)]]</f>
        <v>2255</v>
      </c>
      <c r="Y228" s="9">
        <f>IF(Table1[[#This Row],[taxable wages]]&gt;obamacare_surcharge_amount,obamacare_surcharge_percent*(Table1[[#This Row],[taxable wages]]-obamacare_surcharge_amount),0)</f>
        <v>0</v>
      </c>
      <c r="Z228" s="9">
        <f>Table1[[#This Row],[Federal Taxes Owed (Includes AMT)]]+Table1[[#This Row],[Obamacare surcharge premium]]</f>
        <v>2255</v>
      </c>
      <c r="AA228" s="9">
        <f>Table1[[#This Row],[taxable wages]]-Table1[[#This Row],[Federal Taxes Owed2]]</f>
        <v>93245</v>
      </c>
      <c r="AB228" s="51">
        <f t="shared" si="21"/>
        <v>0.15</v>
      </c>
      <c r="AC228" s="41"/>
      <c r="AD228" s="13"/>
      <c r="AE228" s="13"/>
    </row>
    <row r="229" spans="2:31" x14ac:dyDescent="0.3">
      <c r="B229" s="41">
        <f t="shared" si="22"/>
        <v>96000</v>
      </c>
      <c r="C229" s="1">
        <f>Table1[[#This Row],[taxable wages]]</f>
        <v>96000</v>
      </c>
      <c r="D229" s="1">
        <f>Table1[[#This Row],[taxable wages]]+interest+dividends+short_term_capital_gains+long_term_capital_gains</f>
        <v>96000</v>
      </c>
      <c r="E229" s="1">
        <f>MAX(Table1[[#This Row],[earned income for EITC]:[Agi For Eitc Calc]])</f>
        <v>96000</v>
      </c>
      <c r="F229" s="1">
        <f>Table1[[#This Row],[taxable wages]]+interest+dividends+short_term_capital_gains+long_term_capital_gains-(trad_ira_contributions+MIN(student_loan_interest_cap,student_loan_interest))</f>
        <v>96000</v>
      </c>
      <c r="G229" s="1">
        <f t="shared" si="18"/>
        <v>12600</v>
      </c>
      <c r="H229" s="1">
        <f t="shared" si="19"/>
        <v>28350</v>
      </c>
      <c r="I229" s="1">
        <f>MAX(0,Table1[[#This Row],[Agi]]-Table1[[#This Row],[Exemptions]]-Table1[[#This Row],[Effective Deductions]])</f>
        <v>55050</v>
      </c>
      <c r="J2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7330</v>
      </c>
      <c r="K229" s="1">
        <f t="shared" si="20"/>
        <v>5000</v>
      </c>
      <c r="L229" s="1">
        <f>IF(Table1[[#This Row],[Agi]]&gt;ctc_phase_out_begins,ctc_phase_out_rate*(Table1[[#This Row],[Agi]]-ctc_phase_out_begins),0)</f>
        <v>0</v>
      </c>
      <c r="M229" s="1">
        <f>MAX(Table1[[#This Row],[Child Tax Credit]]-Table1[[#This Row],[Child Tax Credit Phase Out]],0)</f>
        <v>5000</v>
      </c>
      <c r="N229" s="1">
        <f>MAX(Table1[[#This Row],[Regular Taxes Owed]]-Table1[[#This Row],[Effective Child Tax Credit]],0)</f>
        <v>2330</v>
      </c>
      <c r="O229" s="1">
        <f>MAX(MIN((Table1[[#This Row],[taxable wages]]-3000)*0.15,1000*num_kids_16_younger),0)</f>
        <v>5000</v>
      </c>
      <c r="P229" s="9">
        <f>IF(Table1[[#This Row],[Effective Child Tax Credit]]&gt;Table1[[#This Row],[Regular Taxes Owed]],Table1[[#This Row],[Additional Child Tax Credit ]]-Table1[[#This Row],[Regular Taxes Owed]],0)</f>
        <v>0</v>
      </c>
      <c r="Q2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29" s="1">
        <f>Table1[[#This Row],[Effective Additional Child Tax Credit]]+Table1[[#This Row],[Eitc]]</f>
        <v>0</v>
      </c>
      <c r="S229" s="9">
        <f>Table1[[#This Row],[Regular Taxes Owed - Effective Child Tax Credit]]-Table1[[#This Row],[Total Credits]]</f>
        <v>2330</v>
      </c>
      <c r="T229" s="9">
        <f>Table1[[#This Row],[taxable wages]]+interest+dividends+short_term_capital_gains+long_term_capital_gains-(charitable_donations+mortgage_interest)</f>
        <v>96000</v>
      </c>
      <c r="U229" s="9">
        <f>MAX(amt_exemption-amt_exemption_phase_out_rate*MAX(Table1[[#This Row],[taxable wages]]-amt_phase_out_begins,0),0)</f>
        <v>83800</v>
      </c>
      <c r="V2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3172</v>
      </c>
      <c r="W229" s="1">
        <f>IF(AND(Table1[[#This Row],[AMT Taxes]]&gt;Table1[[#This Row],[Regular Taxes Owed]],Table1[[#This Row],[AMT Taxes]]&gt;0),Table1[[#This Row],[AMT Taxes]]-Table1[[#This Row],[Regular Taxes Owed]],0)</f>
        <v>0</v>
      </c>
      <c r="X229" s="9">
        <f>Table1[[#This Row],[Extra Taxes From Amt]]+Table1[[#This Row],[Federal Taxes Owed (No AMT)]]</f>
        <v>2330</v>
      </c>
      <c r="Y229" s="9">
        <f>IF(Table1[[#This Row],[taxable wages]]&gt;obamacare_surcharge_amount,obamacare_surcharge_percent*(Table1[[#This Row],[taxable wages]]-obamacare_surcharge_amount),0)</f>
        <v>0</v>
      </c>
      <c r="Z229" s="9">
        <f>Table1[[#This Row],[Federal Taxes Owed (Includes AMT)]]+Table1[[#This Row],[Obamacare surcharge premium]]</f>
        <v>2330</v>
      </c>
      <c r="AA229" s="9">
        <f>Table1[[#This Row],[taxable wages]]-Table1[[#This Row],[Federal Taxes Owed2]]</f>
        <v>93670</v>
      </c>
      <c r="AB229" s="51">
        <f t="shared" si="21"/>
        <v>0.15</v>
      </c>
      <c r="AC229" s="41"/>
      <c r="AD229" s="13"/>
      <c r="AE229" s="13"/>
    </row>
    <row r="230" spans="2:31" x14ac:dyDescent="0.3">
      <c r="B230" s="41">
        <f t="shared" si="22"/>
        <v>96500</v>
      </c>
      <c r="C230" s="1">
        <f>Table1[[#This Row],[taxable wages]]</f>
        <v>96500</v>
      </c>
      <c r="D230" s="1">
        <f>Table1[[#This Row],[taxable wages]]+interest+dividends+short_term_capital_gains+long_term_capital_gains</f>
        <v>96500</v>
      </c>
      <c r="E230" s="1">
        <f>MAX(Table1[[#This Row],[earned income for EITC]:[Agi For Eitc Calc]])</f>
        <v>96500</v>
      </c>
      <c r="F230" s="1">
        <f>Table1[[#This Row],[taxable wages]]+interest+dividends+short_term_capital_gains+long_term_capital_gains-(trad_ira_contributions+MIN(student_loan_interest_cap,student_loan_interest))</f>
        <v>96500</v>
      </c>
      <c r="G230" s="1">
        <f t="shared" ref="G230:G293" si="23">MAX(standard_deduction,mortgage_interest+real_estate_property_taxes+state_income_tax_paid+charitable_donations+medical_expenses)</f>
        <v>12600</v>
      </c>
      <c r="H230" s="1">
        <f t="shared" ref="H230:H293" si="24">num_people_in_family*personal_exemption</f>
        <v>28350</v>
      </c>
      <c r="I230" s="1">
        <f>MAX(0,Table1[[#This Row],[Agi]]-Table1[[#This Row],[Exemptions]]-Table1[[#This Row],[Effective Deductions]])</f>
        <v>55550</v>
      </c>
      <c r="J2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7405</v>
      </c>
      <c r="K230" s="1">
        <f t="shared" ref="K230:K293" si="25">child_tax_credit*num_kids_16_younger</f>
        <v>5000</v>
      </c>
      <c r="L230" s="1">
        <f>IF(Table1[[#This Row],[Agi]]&gt;ctc_phase_out_begins,ctc_phase_out_rate*(Table1[[#This Row],[Agi]]-ctc_phase_out_begins),0)</f>
        <v>0</v>
      </c>
      <c r="M230" s="1">
        <f>MAX(Table1[[#This Row],[Child Tax Credit]]-Table1[[#This Row],[Child Tax Credit Phase Out]],0)</f>
        <v>5000</v>
      </c>
      <c r="N230" s="1">
        <f>MAX(Table1[[#This Row],[Regular Taxes Owed]]-Table1[[#This Row],[Effective Child Tax Credit]],0)</f>
        <v>2405</v>
      </c>
      <c r="O230" s="1">
        <f>MAX(MIN((Table1[[#This Row],[taxable wages]]-3000)*0.15,1000*num_kids_16_younger),0)</f>
        <v>5000</v>
      </c>
      <c r="P230" s="9">
        <f>IF(Table1[[#This Row],[Effective Child Tax Credit]]&gt;Table1[[#This Row],[Regular Taxes Owed]],Table1[[#This Row],[Additional Child Tax Credit ]]-Table1[[#This Row],[Regular Taxes Owed]],0)</f>
        <v>0</v>
      </c>
      <c r="Q2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0" s="1">
        <f>Table1[[#This Row],[Effective Additional Child Tax Credit]]+Table1[[#This Row],[Eitc]]</f>
        <v>0</v>
      </c>
      <c r="S230" s="9">
        <f>Table1[[#This Row],[Regular Taxes Owed - Effective Child Tax Credit]]-Table1[[#This Row],[Total Credits]]</f>
        <v>2405</v>
      </c>
      <c r="T230" s="9">
        <f>Table1[[#This Row],[taxable wages]]+interest+dividends+short_term_capital_gains+long_term_capital_gains-(charitable_donations+mortgage_interest)</f>
        <v>96500</v>
      </c>
      <c r="U230" s="9">
        <f>MAX(amt_exemption-amt_exemption_phase_out_rate*MAX(Table1[[#This Row],[taxable wages]]-amt_phase_out_begins,0),0)</f>
        <v>83800</v>
      </c>
      <c r="V2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3302</v>
      </c>
      <c r="W230" s="1">
        <f>IF(AND(Table1[[#This Row],[AMT Taxes]]&gt;Table1[[#This Row],[Regular Taxes Owed]],Table1[[#This Row],[AMT Taxes]]&gt;0),Table1[[#This Row],[AMT Taxes]]-Table1[[#This Row],[Regular Taxes Owed]],0)</f>
        <v>0</v>
      </c>
      <c r="X230" s="9">
        <f>Table1[[#This Row],[Extra Taxes From Amt]]+Table1[[#This Row],[Federal Taxes Owed (No AMT)]]</f>
        <v>2405</v>
      </c>
      <c r="Y230" s="9">
        <f>IF(Table1[[#This Row],[taxable wages]]&gt;obamacare_surcharge_amount,obamacare_surcharge_percent*(Table1[[#This Row],[taxable wages]]-obamacare_surcharge_amount),0)</f>
        <v>0</v>
      </c>
      <c r="Z230" s="9">
        <f>Table1[[#This Row],[Federal Taxes Owed (Includes AMT)]]+Table1[[#This Row],[Obamacare surcharge premium]]</f>
        <v>2405</v>
      </c>
      <c r="AA230" s="9">
        <f>Table1[[#This Row],[taxable wages]]-Table1[[#This Row],[Federal Taxes Owed2]]</f>
        <v>94095</v>
      </c>
      <c r="AB230" s="51">
        <f t="shared" si="21"/>
        <v>0.15</v>
      </c>
      <c r="AC230" s="41"/>
      <c r="AD230" s="13"/>
      <c r="AE230" s="13"/>
    </row>
    <row r="231" spans="2:31" x14ac:dyDescent="0.3">
      <c r="B231" s="41">
        <f t="shared" si="22"/>
        <v>97000</v>
      </c>
      <c r="C231" s="1">
        <f>Table1[[#This Row],[taxable wages]]</f>
        <v>97000</v>
      </c>
      <c r="D231" s="1">
        <f>Table1[[#This Row],[taxable wages]]+interest+dividends+short_term_capital_gains+long_term_capital_gains</f>
        <v>97000</v>
      </c>
      <c r="E231" s="1">
        <f>MAX(Table1[[#This Row],[earned income for EITC]:[Agi For Eitc Calc]])</f>
        <v>97000</v>
      </c>
      <c r="F231" s="1">
        <f>Table1[[#This Row],[taxable wages]]+interest+dividends+short_term_capital_gains+long_term_capital_gains-(trad_ira_contributions+MIN(student_loan_interest_cap,student_loan_interest))</f>
        <v>97000</v>
      </c>
      <c r="G231" s="1">
        <f t="shared" si="23"/>
        <v>12600</v>
      </c>
      <c r="H231" s="1">
        <f t="shared" si="24"/>
        <v>28350</v>
      </c>
      <c r="I231" s="1">
        <f>MAX(0,Table1[[#This Row],[Agi]]-Table1[[#This Row],[Exemptions]]-Table1[[#This Row],[Effective Deductions]])</f>
        <v>56050</v>
      </c>
      <c r="J2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7480</v>
      </c>
      <c r="K231" s="1">
        <f t="shared" si="25"/>
        <v>5000</v>
      </c>
      <c r="L231" s="1">
        <f>IF(Table1[[#This Row],[Agi]]&gt;ctc_phase_out_begins,ctc_phase_out_rate*(Table1[[#This Row],[Agi]]-ctc_phase_out_begins),0)</f>
        <v>0</v>
      </c>
      <c r="M231" s="1">
        <f>MAX(Table1[[#This Row],[Child Tax Credit]]-Table1[[#This Row],[Child Tax Credit Phase Out]],0)</f>
        <v>5000</v>
      </c>
      <c r="N231" s="1">
        <f>MAX(Table1[[#This Row],[Regular Taxes Owed]]-Table1[[#This Row],[Effective Child Tax Credit]],0)</f>
        <v>2480</v>
      </c>
      <c r="O231" s="1">
        <f>MAX(MIN((Table1[[#This Row],[taxable wages]]-3000)*0.15,1000*num_kids_16_younger),0)</f>
        <v>5000</v>
      </c>
      <c r="P231" s="9">
        <f>IF(Table1[[#This Row],[Effective Child Tax Credit]]&gt;Table1[[#This Row],[Regular Taxes Owed]],Table1[[#This Row],[Additional Child Tax Credit ]]-Table1[[#This Row],[Regular Taxes Owed]],0)</f>
        <v>0</v>
      </c>
      <c r="Q2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1" s="1">
        <f>Table1[[#This Row],[Effective Additional Child Tax Credit]]+Table1[[#This Row],[Eitc]]</f>
        <v>0</v>
      </c>
      <c r="S231" s="9">
        <f>Table1[[#This Row],[Regular Taxes Owed - Effective Child Tax Credit]]-Table1[[#This Row],[Total Credits]]</f>
        <v>2480</v>
      </c>
      <c r="T231" s="9">
        <f>Table1[[#This Row],[taxable wages]]+interest+dividends+short_term_capital_gains+long_term_capital_gains-(charitable_donations+mortgage_interest)</f>
        <v>97000</v>
      </c>
      <c r="U231" s="9">
        <f>MAX(amt_exemption-amt_exemption_phase_out_rate*MAX(Table1[[#This Row],[taxable wages]]-amt_phase_out_begins,0),0)</f>
        <v>83800</v>
      </c>
      <c r="V2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3432</v>
      </c>
      <c r="W231" s="1">
        <f>IF(AND(Table1[[#This Row],[AMT Taxes]]&gt;Table1[[#This Row],[Regular Taxes Owed]],Table1[[#This Row],[AMT Taxes]]&gt;0),Table1[[#This Row],[AMT Taxes]]-Table1[[#This Row],[Regular Taxes Owed]],0)</f>
        <v>0</v>
      </c>
      <c r="X231" s="9">
        <f>Table1[[#This Row],[Extra Taxes From Amt]]+Table1[[#This Row],[Federal Taxes Owed (No AMT)]]</f>
        <v>2480</v>
      </c>
      <c r="Y231" s="9">
        <f>IF(Table1[[#This Row],[taxable wages]]&gt;obamacare_surcharge_amount,obamacare_surcharge_percent*(Table1[[#This Row],[taxable wages]]-obamacare_surcharge_amount),0)</f>
        <v>0</v>
      </c>
      <c r="Z231" s="9">
        <f>Table1[[#This Row],[Federal Taxes Owed (Includes AMT)]]+Table1[[#This Row],[Obamacare surcharge premium]]</f>
        <v>2480</v>
      </c>
      <c r="AA231" s="9">
        <f>Table1[[#This Row],[taxable wages]]-Table1[[#This Row],[Federal Taxes Owed2]]</f>
        <v>94520</v>
      </c>
      <c r="AB231" s="51">
        <f t="shared" ref="AB231:AB294" si="26">(Z231-Z230)/(B231-B230)</f>
        <v>0.15</v>
      </c>
      <c r="AC231" s="41"/>
      <c r="AD231" s="13"/>
      <c r="AE231" s="13"/>
    </row>
    <row r="232" spans="2:31" x14ac:dyDescent="0.3">
      <c r="B232" s="41">
        <f t="shared" ref="B232:B295" si="27">B231+500</f>
        <v>97500</v>
      </c>
      <c r="C232" s="1">
        <f>Table1[[#This Row],[taxable wages]]</f>
        <v>97500</v>
      </c>
      <c r="D232" s="1">
        <f>Table1[[#This Row],[taxable wages]]+interest+dividends+short_term_capital_gains+long_term_capital_gains</f>
        <v>97500</v>
      </c>
      <c r="E232" s="1">
        <f>MAX(Table1[[#This Row],[earned income for EITC]:[Agi For Eitc Calc]])</f>
        <v>97500</v>
      </c>
      <c r="F232" s="1">
        <f>Table1[[#This Row],[taxable wages]]+interest+dividends+short_term_capital_gains+long_term_capital_gains-(trad_ira_contributions+MIN(student_loan_interest_cap,student_loan_interest))</f>
        <v>97500</v>
      </c>
      <c r="G232" s="1">
        <f t="shared" si="23"/>
        <v>12600</v>
      </c>
      <c r="H232" s="1">
        <f t="shared" si="24"/>
        <v>28350</v>
      </c>
      <c r="I232" s="1">
        <f>MAX(0,Table1[[#This Row],[Agi]]-Table1[[#This Row],[Exemptions]]-Table1[[#This Row],[Effective Deductions]])</f>
        <v>56550</v>
      </c>
      <c r="J2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7555</v>
      </c>
      <c r="K232" s="1">
        <f t="shared" si="25"/>
        <v>5000</v>
      </c>
      <c r="L232" s="1">
        <f>IF(Table1[[#This Row],[Agi]]&gt;ctc_phase_out_begins,ctc_phase_out_rate*(Table1[[#This Row],[Agi]]-ctc_phase_out_begins),0)</f>
        <v>0</v>
      </c>
      <c r="M232" s="1">
        <f>MAX(Table1[[#This Row],[Child Tax Credit]]-Table1[[#This Row],[Child Tax Credit Phase Out]],0)</f>
        <v>5000</v>
      </c>
      <c r="N232" s="1">
        <f>MAX(Table1[[#This Row],[Regular Taxes Owed]]-Table1[[#This Row],[Effective Child Tax Credit]],0)</f>
        <v>2555</v>
      </c>
      <c r="O232" s="1">
        <f>MAX(MIN((Table1[[#This Row],[taxable wages]]-3000)*0.15,1000*num_kids_16_younger),0)</f>
        <v>5000</v>
      </c>
      <c r="P232" s="9">
        <f>IF(Table1[[#This Row],[Effective Child Tax Credit]]&gt;Table1[[#This Row],[Regular Taxes Owed]],Table1[[#This Row],[Additional Child Tax Credit ]]-Table1[[#This Row],[Regular Taxes Owed]],0)</f>
        <v>0</v>
      </c>
      <c r="Q2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2" s="1">
        <f>Table1[[#This Row],[Effective Additional Child Tax Credit]]+Table1[[#This Row],[Eitc]]</f>
        <v>0</v>
      </c>
      <c r="S232" s="9">
        <f>Table1[[#This Row],[Regular Taxes Owed - Effective Child Tax Credit]]-Table1[[#This Row],[Total Credits]]</f>
        <v>2555</v>
      </c>
      <c r="T232" s="9">
        <f>Table1[[#This Row],[taxable wages]]+interest+dividends+short_term_capital_gains+long_term_capital_gains-(charitable_donations+mortgage_interest)</f>
        <v>97500</v>
      </c>
      <c r="U232" s="9">
        <f>MAX(amt_exemption-amt_exemption_phase_out_rate*MAX(Table1[[#This Row],[taxable wages]]-amt_phase_out_begins,0),0)</f>
        <v>83800</v>
      </c>
      <c r="V2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3562</v>
      </c>
      <c r="W232" s="1">
        <f>IF(AND(Table1[[#This Row],[AMT Taxes]]&gt;Table1[[#This Row],[Regular Taxes Owed]],Table1[[#This Row],[AMT Taxes]]&gt;0),Table1[[#This Row],[AMT Taxes]]-Table1[[#This Row],[Regular Taxes Owed]],0)</f>
        <v>0</v>
      </c>
      <c r="X232" s="9">
        <f>Table1[[#This Row],[Extra Taxes From Amt]]+Table1[[#This Row],[Federal Taxes Owed (No AMT)]]</f>
        <v>2555</v>
      </c>
      <c r="Y232" s="9">
        <f>IF(Table1[[#This Row],[taxable wages]]&gt;obamacare_surcharge_amount,obamacare_surcharge_percent*(Table1[[#This Row],[taxable wages]]-obamacare_surcharge_amount),0)</f>
        <v>0</v>
      </c>
      <c r="Z232" s="9">
        <f>Table1[[#This Row],[Federal Taxes Owed (Includes AMT)]]+Table1[[#This Row],[Obamacare surcharge premium]]</f>
        <v>2555</v>
      </c>
      <c r="AA232" s="9">
        <f>Table1[[#This Row],[taxable wages]]-Table1[[#This Row],[Federal Taxes Owed2]]</f>
        <v>94945</v>
      </c>
      <c r="AB232" s="51">
        <f t="shared" si="26"/>
        <v>0.15</v>
      </c>
      <c r="AC232" s="41"/>
      <c r="AD232" s="13"/>
      <c r="AE232" s="13"/>
    </row>
    <row r="233" spans="2:31" x14ac:dyDescent="0.3">
      <c r="B233" s="41">
        <f t="shared" si="27"/>
        <v>98000</v>
      </c>
      <c r="C233" s="1">
        <f>Table1[[#This Row],[taxable wages]]</f>
        <v>98000</v>
      </c>
      <c r="D233" s="1">
        <f>Table1[[#This Row],[taxable wages]]+interest+dividends+short_term_capital_gains+long_term_capital_gains</f>
        <v>98000</v>
      </c>
      <c r="E233" s="1">
        <f>MAX(Table1[[#This Row],[earned income for EITC]:[Agi For Eitc Calc]])</f>
        <v>98000</v>
      </c>
      <c r="F233" s="1">
        <f>Table1[[#This Row],[taxable wages]]+interest+dividends+short_term_capital_gains+long_term_capital_gains-(trad_ira_contributions+MIN(student_loan_interest_cap,student_loan_interest))</f>
        <v>98000</v>
      </c>
      <c r="G233" s="1">
        <f t="shared" si="23"/>
        <v>12600</v>
      </c>
      <c r="H233" s="1">
        <f t="shared" si="24"/>
        <v>28350</v>
      </c>
      <c r="I233" s="1">
        <f>MAX(0,Table1[[#This Row],[Agi]]-Table1[[#This Row],[Exemptions]]-Table1[[#This Row],[Effective Deductions]])</f>
        <v>57050</v>
      </c>
      <c r="J2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7630</v>
      </c>
      <c r="K233" s="1">
        <f t="shared" si="25"/>
        <v>5000</v>
      </c>
      <c r="L233" s="1">
        <f>IF(Table1[[#This Row],[Agi]]&gt;ctc_phase_out_begins,ctc_phase_out_rate*(Table1[[#This Row],[Agi]]-ctc_phase_out_begins),0)</f>
        <v>0</v>
      </c>
      <c r="M233" s="1">
        <f>MAX(Table1[[#This Row],[Child Tax Credit]]-Table1[[#This Row],[Child Tax Credit Phase Out]],0)</f>
        <v>5000</v>
      </c>
      <c r="N233" s="1">
        <f>MAX(Table1[[#This Row],[Regular Taxes Owed]]-Table1[[#This Row],[Effective Child Tax Credit]],0)</f>
        <v>2630</v>
      </c>
      <c r="O233" s="1">
        <f>MAX(MIN((Table1[[#This Row],[taxable wages]]-3000)*0.15,1000*num_kids_16_younger),0)</f>
        <v>5000</v>
      </c>
      <c r="P233" s="9">
        <f>IF(Table1[[#This Row],[Effective Child Tax Credit]]&gt;Table1[[#This Row],[Regular Taxes Owed]],Table1[[#This Row],[Additional Child Tax Credit ]]-Table1[[#This Row],[Regular Taxes Owed]],0)</f>
        <v>0</v>
      </c>
      <c r="Q2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3" s="1">
        <f>Table1[[#This Row],[Effective Additional Child Tax Credit]]+Table1[[#This Row],[Eitc]]</f>
        <v>0</v>
      </c>
      <c r="S233" s="9">
        <f>Table1[[#This Row],[Regular Taxes Owed - Effective Child Tax Credit]]-Table1[[#This Row],[Total Credits]]</f>
        <v>2630</v>
      </c>
      <c r="T233" s="9">
        <f>Table1[[#This Row],[taxable wages]]+interest+dividends+short_term_capital_gains+long_term_capital_gains-(charitable_donations+mortgage_interest)</f>
        <v>98000</v>
      </c>
      <c r="U233" s="9">
        <f>MAX(amt_exemption-amt_exemption_phase_out_rate*MAX(Table1[[#This Row],[taxable wages]]-amt_phase_out_begins,0),0)</f>
        <v>83800</v>
      </c>
      <c r="V2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3692</v>
      </c>
      <c r="W233" s="1">
        <f>IF(AND(Table1[[#This Row],[AMT Taxes]]&gt;Table1[[#This Row],[Regular Taxes Owed]],Table1[[#This Row],[AMT Taxes]]&gt;0),Table1[[#This Row],[AMT Taxes]]-Table1[[#This Row],[Regular Taxes Owed]],0)</f>
        <v>0</v>
      </c>
      <c r="X233" s="9">
        <f>Table1[[#This Row],[Extra Taxes From Amt]]+Table1[[#This Row],[Federal Taxes Owed (No AMT)]]</f>
        <v>2630</v>
      </c>
      <c r="Y233" s="9">
        <f>IF(Table1[[#This Row],[taxable wages]]&gt;obamacare_surcharge_amount,obamacare_surcharge_percent*(Table1[[#This Row],[taxable wages]]-obamacare_surcharge_amount),0)</f>
        <v>0</v>
      </c>
      <c r="Z233" s="9">
        <f>Table1[[#This Row],[Federal Taxes Owed (Includes AMT)]]+Table1[[#This Row],[Obamacare surcharge premium]]</f>
        <v>2630</v>
      </c>
      <c r="AA233" s="9">
        <f>Table1[[#This Row],[taxable wages]]-Table1[[#This Row],[Federal Taxes Owed2]]</f>
        <v>95370</v>
      </c>
      <c r="AB233" s="51">
        <f t="shared" si="26"/>
        <v>0.15</v>
      </c>
      <c r="AC233" s="41"/>
      <c r="AD233" s="13"/>
      <c r="AE233" s="13"/>
    </row>
    <row r="234" spans="2:31" x14ac:dyDescent="0.3">
      <c r="B234" s="41">
        <f t="shared" si="27"/>
        <v>98500</v>
      </c>
      <c r="C234" s="1">
        <f>Table1[[#This Row],[taxable wages]]</f>
        <v>98500</v>
      </c>
      <c r="D234" s="1">
        <f>Table1[[#This Row],[taxable wages]]+interest+dividends+short_term_capital_gains+long_term_capital_gains</f>
        <v>98500</v>
      </c>
      <c r="E234" s="1">
        <f>MAX(Table1[[#This Row],[earned income for EITC]:[Agi For Eitc Calc]])</f>
        <v>98500</v>
      </c>
      <c r="F234" s="1">
        <f>Table1[[#This Row],[taxable wages]]+interest+dividends+short_term_capital_gains+long_term_capital_gains-(trad_ira_contributions+MIN(student_loan_interest_cap,student_loan_interest))</f>
        <v>98500</v>
      </c>
      <c r="G234" s="1">
        <f t="shared" si="23"/>
        <v>12600</v>
      </c>
      <c r="H234" s="1">
        <f t="shared" si="24"/>
        <v>28350</v>
      </c>
      <c r="I234" s="1">
        <f>MAX(0,Table1[[#This Row],[Agi]]-Table1[[#This Row],[Exemptions]]-Table1[[#This Row],[Effective Deductions]])</f>
        <v>57550</v>
      </c>
      <c r="J2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7705</v>
      </c>
      <c r="K234" s="1">
        <f t="shared" si="25"/>
        <v>5000</v>
      </c>
      <c r="L234" s="1">
        <f>IF(Table1[[#This Row],[Agi]]&gt;ctc_phase_out_begins,ctc_phase_out_rate*(Table1[[#This Row],[Agi]]-ctc_phase_out_begins),0)</f>
        <v>0</v>
      </c>
      <c r="M234" s="1">
        <f>MAX(Table1[[#This Row],[Child Tax Credit]]-Table1[[#This Row],[Child Tax Credit Phase Out]],0)</f>
        <v>5000</v>
      </c>
      <c r="N234" s="1">
        <f>MAX(Table1[[#This Row],[Regular Taxes Owed]]-Table1[[#This Row],[Effective Child Tax Credit]],0)</f>
        <v>2705</v>
      </c>
      <c r="O234" s="1">
        <f>MAX(MIN((Table1[[#This Row],[taxable wages]]-3000)*0.15,1000*num_kids_16_younger),0)</f>
        <v>5000</v>
      </c>
      <c r="P234" s="9">
        <f>IF(Table1[[#This Row],[Effective Child Tax Credit]]&gt;Table1[[#This Row],[Regular Taxes Owed]],Table1[[#This Row],[Additional Child Tax Credit ]]-Table1[[#This Row],[Regular Taxes Owed]],0)</f>
        <v>0</v>
      </c>
      <c r="Q2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4" s="1">
        <f>Table1[[#This Row],[Effective Additional Child Tax Credit]]+Table1[[#This Row],[Eitc]]</f>
        <v>0</v>
      </c>
      <c r="S234" s="9">
        <f>Table1[[#This Row],[Regular Taxes Owed - Effective Child Tax Credit]]-Table1[[#This Row],[Total Credits]]</f>
        <v>2705</v>
      </c>
      <c r="T234" s="9">
        <f>Table1[[#This Row],[taxable wages]]+interest+dividends+short_term_capital_gains+long_term_capital_gains-(charitable_donations+mortgage_interest)</f>
        <v>98500</v>
      </c>
      <c r="U234" s="9">
        <f>MAX(amt_exemption-amt_exemption_phase_out_rate*MAX(Table1[[#This Row],[taxable wages]]-amt_phase_out_begins,0),0)</f>
        <v>83800</v>
      </c>
      <c r="V2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3822</v>
      </c>
      <c r="W234" s="1">
        <f>IF(AND(Table1[[#This Row],[AMT Taxes]]&gt;Table1[[#This Row],[Regular Taxes Owed]],Table1[[#This Row],[AMT Taxes]]&gt;0),Table1[[#This Row],[AMT Taxes]]-Table1[[#This Row],[Regular Taxes Owed]],0)</f>
        <v>0</v>
      </c>
      <c r="X234" s="9">
        <f>Table1[[#This Row],[Extra Taxes From Amt]]+Table1[[#This Row],[Federal Taxes Owed (No AMT)]]</f>
        <v>2705</v>
      </c>
      <c r="Y234" s="9">
        <f>IF(Table1[[#This Row],[taxable wages]]&gt;obamacare_surcharge_amount,obamacare_surcharge_percent*(Table1[[#This Row],[taxable wages]]-obamacare_surcharge_amount),0)</f>
        <v>0</v>
      </c>
      <c r="Z234" s="9">
        <f>Table1[[#This Row],[Federal Taxes Owed (Includes AMT)]]+Table1[[#This Row],[Obamacare surcharge premium]]</f>
        <v>2705</v>
      </c>
      <c r="AA234" s="9">
        <f>Table1[[#This Row],[taxable wages]]-Table1[[#This Row],[Federal Taxes Owed2]]</f>
        <v>95795</v>
      </c>
      <c r="AB234" s="51">
        <f t="shared" si="26"/>
        <v>0.15</v>
      </c>
      <c r="AC234" s="41"/>
      <c r="AD234" s="13"/>
      <c r="AE234" s="13"/>
    </row>
    <row r="235" spans="2:31" x14ac:dyDescent="0.3">
      <c r="B235" s="41">
        <f t="shared" si="27"/>
        <v>99000</v>
      </c>
      <c r="C235" s="1">
        <f>Table1[[#This Row],[taxable wages]]</f>
        <v>99000</v>
      </c>
      <c r="D235" s="1">
        <f>Table1[[#This Row],[taxable wages]]+interest+dividends+short_term_capital_gains+long_term_capital_gains</f>
        <v>99000</v>
      </c>
      <c r="E235" s="1">
        <f>MAX(Table1[[#This Row],[earned income for EITC]:[Agi For Eitc Calc]])</f>
        <v>99000</v>
      </c>
      <c r="F235" s="1">
        <f>Table1[[#This Row],[taxable wages]]+interest+dividends+short_term_capital_gains+long_term_capital_gains-(trad_ira_contributions+MIN(student_loan_interest_cap,student_loan_interest))</f>
        <v>99000</v>
      </c>
      <c r="G235" s="1">
        <f t="shared" si="23"/>
        <v>12600</v>
      </c>
      <c r="H235" s="1">
        <f t="shared" si="24"/>
        <v>28350</v>
      </c>
      <c r="I235" s="1">
        <f>MAX(0,Table1[[#This Row],[Agi]]-Table1[[#This Row],[Exemptions]]-Table1[[#This Row],[Effective Deductions]])</f>
        <v>58050</v>
      </c>
      <c r="J2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7780</v>
      </c>
      <c r="K235" s="1">
        <f t="shared" si="25"/>
        <v>5000</v>
      </c>
      <c r="L235" s="1">
        <f>IF(Table1[[#This Row],[Agi]]&gt;ctc_phase_out_begins,ctc_phase_out_rate*(Table1[[#This Row],[Agi]]-ctc_phase_out_begins),0)</f>
        <v>0</v>
      </c>
      <c r="M235" s="1">
        <f>MAX(Table1[[#This Row],[Child Tax Credit]]-Table1[[#This Row],[Child Tax Credit Phase Out]],0)</f>
        <v>5000</v>
      </c>
      <c r="N235" s="1">
        <f>MAX(Table1[[#This Row],[Regular Taxes Owed]]-Table1[[#This Row],[Effective Child Tax Credit]],0)</f>
        <v>2780</v>
      </c>
      <c r="O235" s="1">
        <f>MAX(MIN((Table1[[#This Row],[taxable wages]]-3000)*0.15,1000*num_kids_16_younger),0)</f>
        <v>5000</v>
      </c>
      <c r="P235" s="9">
        <f>IF(Table1[[#This Row],[Effective Child Tax Credit]]&gt;Table1[[#This Row],[Regular Taxes Owed]],Table1[[#This Row],[Additional Child Tax Credit ]]-Table1[[#This Row],[Regular Taxes Owed]],0)</f>
        <v>0</v>
      </c>
      <c r="Q2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5" s="1">
        <f>Table1[[#This Row],[Effective Additional Child Tax Credit]]+Table1[[#This Row],[Eitc]]</f>
        <v>0</v>
      </c>
      <c r="S235" s="9">
        <f>Table1[[#This Row],[Regular Taxes Owed - Effective Child Tax Credit]]-Table1[[#This Row],[Total Credits]]</f>
        <v>2780</v>
      </c>
      <c r="T235" s="9">
        <f>Table1[[#This Row],[taxable wages]]+interest+dividends+short_term_capital_gains+long_term_capital_gains-(charitable_donations+mortgage_interest)</f>
        <v>99000</v>
      </c>
      <c r="U235" s="9">
        <f>MAX(amt_exemption-amt_exemption_phase_out_rate*MAX(Table1[[#This Row],[taxable wages]]-amt_phase_out_begins,0),0)</f>
        <v>83800</v>
      </c>
      <c r="V2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3952</v>
      </c>
      <c r="W235" s="1">
        <f>IF(AND(Table1[[#This Row],[AMT Taxes]]&gt;Table1[[#This Row],[Regular Taxes Owed]],Table1[[#This Row],[AMT Taxes]]&gt;0),Table1[[#This Row],[AMT Taxes]]-Table1[[#This Row],[Regular Taxes Owed]],0)</f>
        <v>0</v>
      </c>
      <c r="X235" s="9">
        <f>Table1[[#This Row],[Extra Taxes From Amt]]+Table1[[#This Row],[Federal Taxes Owed (No AMT)]]</f>
        <v>2780</v>
      </c>
      <c r="Y235" s="9">
        <f>IF(Table1[[#This Row],[taxable wages]]&gt;obamacare_surcharge_amount,obamacare_surcharge_percent*(Table1[[#This Row],[taxable wages]]-obamacare_surcharge_amount),0)</f>
        <v>0</v>
      </c>
      <c r="Z235" s="9">
        <f>Table1[[#This Row],[Federal Taxes Owed (Includes AMT)]]+Table1[[#This Row],[Obamacare surcharge premium]]</f>
        <v>2780</v>
      </c>
      <c r="AA235" s="9">
        <f>Table1[[#This Row],[taxable wages]]-Table1[[#This Row],[Federal Taxes Owed2]]</f>
        <v>96220</v>
      </c>
      <c r="AB235" s="51">
        <f t="shared" si="26"/>
        <v>0.15</v>
      </c>
      <c r="AC235" s="41"/>
      <c r="AD235" s="13"/>
      <c r="AE235" s="13"/>
    </row>
    <row r="236" spans="2:31" x14ac:dyDescent="0.3">
      <c r="B236" s="41">
        <f t="shared" si="27"/>
        <v>99500</v>
      </c>
      <c r="C236" s="1">
        <f>Table1[[#This Row],[taxable wages]]</f>
        <v>99500</v>
      </c>
      <c r="D236" s="1">
        <f>Table1[[#This Row],[taxable wages]]+interest+dividends+short_term_capital_gains+long_term_capital_gains</f>
        <v>99500</v>
      </c>
      <c r="E236" s="1">
        <f>MAX(Table1[[#This Row],[earned income for EITC]:[Agi For Eitc Calc]])</f>
        <v>99500</v>
      </c>
      <c r="F236" s="1">
        <f>Table1[[#This Row],[taxable wages]]+interest+dividends+short_term_capital_gains+long_term_capital_gains-(trad_ira_contributions+MIN(student_loan_interest_cap,student_loan_interest))</f>
        <v>99500</v>
      </c>
      <c r="G236" s="1">
        <f t="shared" si="23"/>
        <v>12600</v>
      </c>
      <c r="H236" s="1">
        <f t="shared" si="24"/>
        <v>28350</v>
      </c>
      <c r="I236" s="1">
        <f>MAX(0,Table1[[#This Row],[Agi]]-Table1[[#This Row],[Exemptions]]-Table1[[#This Row],[Effective Deductions]])</f>
        <v>58550</v>
      </c>
      <c r="J2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7855</v>
      </c>
      <c r="K236" s="1">
        <f t="shared" si="25"/>
        <v>5000</v>
      </c>
      <c r="L236" s="1">
        <f>IF(Table1[[#This Row],[Agi]]&gt;ctc_phase_out_begins,ctc_phase_out_rate*(Table1[[#This Row],[Agi]]-ctc_phase_out_begins),0)</f>
        <v>0</v>
      </c>
      <c r="M236" s="1">
        <f>MAX(Table1[[#This Row],[Child Tax Credit]]-Table1[[#This Row],[Child Tax Credit Phase Out]],0)</f>
        <v>5000</v>
      </c>
      <c r="N236" s="1">
        <f>MAX(Table1[[#This Row],[Regular Taxes Owed]]-Table1[[#This Row],[Effective Child Tax Credit]],0)</f>
        <v>2855</v>
      </c>
      <c r="O236" s="1">
        <f>MAX(MIN((Table1[[#This Row],[taxable wages]]-3000)*0.15,1000*num_kids_16_younger),0)</f>
        <v>5000</v>
      </c>
      <c r="P236" s="9">
        <f>IF(Table1[[#This Row],[Effective Child Tax Credit]]&gt;Table1[[#This Row],[Regular Taxes Owed]],Table1[[#This Row],[Additional Child Tax Credit ]]-Table1[[#This Row],[Regular Taxes Owed]],0)</f>
        <v>0</v>
      </c>
      <c r="Q2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6" s="1">
        <f>Table1[[#This Row],[Effective Additional Child Tax Credit]]+Table1[[#This Row],[Eitc]]</f>
        <v>0</v>
      </c>
      <c r="S236" s="9">
        <f>Table1[[#This Row],[Regular Taxes Owed - Effective Child Tax Credit]]-Table1[[#This Row],[Total Credits]]</f>
        <v>2855</v>
      </c>
      <c r="T236" s="9">
        <f>Table1[[#This Row],[taxable wages]]+interest+dividends+short_term_capital_gains+long_term_capital_gains-(charitable_donations+mortgage_interest)</f>
        <v>99500</v>
      </c>
      <c r="U236" s="9">
        <f>MAX(amt_exemption-amt_exemption_phase_out_rate*MAX(Table1[[#This Row],[taxable wages]]-amt_phase_out_begins,0),0)</f>
        <v>83800</v>
      </c>
      <c r="V2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4082</v>
      </c>
      <c r="W236" s="1">
        <f>IF(AND(Table1[[#This Row],[AMT Taxes]]&gt;Table1[[#This Row],[Regular Taxes Owed]],Table1[[#This Row],[AMT Taxes]]&gt;0),Table1[[#This Row],[AMT Taxes]]-Table1[[#This Row],[Regular Taxes Owed]],0)</f>
        <v>0</v>
      </c>
      <c r="X236" s="9">
        <f>Table1[[#This Row],[Extra Taxes From Amt]]+Table1[[#This Row],[Federal Taxes Owed (No AMT)]]</f>
        <v>2855</v>
      </c>
      <c r="Y236" s="9">
        <f>IF(Table1[[#This Row],[taxable wages]]&gt;obamacare_surcharge_amount,obamacare_surcharge_percent*(Table1[[#This Row],[taxable wages]]-obamacare_surcharge_amount),0)</f>
        <v>0</v>
      </c>
      <c r="Z236" s="9">
        <f>Table1[[#This Row],[Federal Taxes Owed (Includes AMT)]]+Table1[[#This Row],[Obamacare surcharge premium]]</f>
        <v>2855</v>
      </c>
      <c r="AA236" s="9">
        <f>Table1[[#This Row],[taxable wages]]-Table1[[#This Row],[Federal Taxes Owed2]]</f>
        <v>96645</v>
      </c>
      <c r="AB236" s="51">
        <f t="shared" si="26"/>
        <v>0.15</v>
      </c>
      <c r="AC236" s="41"/>
      <c r="AD236" s="13"/>
      <c r="AE236" s="13"/>
    </row>
    <row r="237" spans="2:31" x14ac:dyDescent="0.3">
      <c r="B237" s="41">
        <f t="shared" si="27"/>
        <v>100000</v>
      </c>
      <c r="C237" s="1">
        <f>Table1[[#This Row],[taxable wages]]</f>
        <v>100000</v>
      </c>
      <c r="D237" s="1">
        <f>Table1[[#This Row],[taxable wages]]+interest+dividends+short_term_capital_gains+long_term_capital_gains</f>
        <v>100000</v>
      </c>
      <c r="E237" s="1">
        <f>MAX(Table1[[#This Row],[earned income for EITC]:[Agi For Eitc Calc]])</f>
        <v>100000</v>
      </c>
      <c r="F237" s="1">
        <f>Table1[[#This Row],[taxable wages]]+interest+dividends+short_term_capital_gains+long_term_capital_gains-(trad_ira_contributions+MIN(student_loan_interest_cap,student_loan_interest))</f>
        <v>100000</v>
      </c>
      <c r="G237" s="1">
        <f t="shared" si="23"/>
        <v>12600</v>
      </c>
      <c r="H237" s="1">
        <f t="shared" si="24"/>
        <v>28350</v>
      </c>
      <c r="I237" s="1">
        <f>MAX(0,Table1[[#This Row],[Agi]]-Table1[[#This Row],[Exemptions]]-Table1[[#This Row],[Effective Deductions]])</f>
        <v>59050</v>
      </c>
      <c r="J2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7930</v>
      </c>
      <c r="K237" s="1">
        <f t="shared" si="25"/>
        <v>5000</v>
      </c>
      <c r="L237" s="1">
        <f>IF(Table1[[#This Row],[Agi]]&gt;ctc_phase_out_begins,ctc_phase_out_rate*(Table1[[#This Row],[Agi]]-ctc_phase_out_begins),0)</f>
        <v>0</v>
      </c>
      <c r="M237" s="1">
        <f>MAX(Table1[[#This Row],[Child Tax Credit]]-Table1[[#This Row],[Child Tax Credit Phase Out]],0)</f>
        <v>5000</v>
      </c>
      <c r="N237" s="1">
        <f>MAX(Table1[[#This Row],[Regular Taxes Owed]]-Table1[[#This Row],[Effective Child Tax Credit]],0)</f>
        <v>2930</v>
      </c>
      <c r="O237" s="1">
        <f>MAX(MIN((Table1[[#This Row],[taxable wages]]-3000)*0.15,1000*num_kids_16_younger),0)</f>
        <v>5000</v>
      </c>
      <c r="P237" s="9">
        <f>IF(Table1[[#This Row],[Effective Child Tax Credit]]&gt;Table1[[#This Row],[Regular Taxes Owed]],Table1[[#This Row],[Additional Child Tax Credit ]]-Table1[[#This Row],[Regular Taxes Owed]],0)</f>
        <v>0</v>
      </c>
      <c r="Q2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7" s="1">
        <f>Table1[[#This Row],[Effective Additional Child Tax Credit]]+Table1[[#This Row],[Eitc]]</f>
        <v>0</v>
      </c>
      <c r="S237" s="9">
        <f>Table1[[#This Row],[Regular Taxes Owed - Effective Child Tax Credit]]-Table1[[#This Row],[Total Credits]]</f>
        <v>2930</v>
      </c>
      <c r="T237" s="9">
        <f>Table1[[#This Row],[taxable wages]]+interest+dividends+short_term_capital_gains+long_term_capital_gains-(charitable_donations+mortgage_interest)</f>
        <v>100000</v>
      </c>
      <c r="U237" s="9">
        <f>MAX(amt_exemption-amt_exemption_phase_out_rate*MAX(Table1[[#This Row],[taxable wages]]-amt_phase_out_begins,0),0)</f>
        <v>83800</v>
      </c>
      <c r="V2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4212</v>
      </c>
      <c r="W237" s="1">
        <f>IF(AND(Table1[[#This Row],[AMT Taxes]]&gt;Table1[[#This Row],[Regular Taxes Owed]],Table1[[#This Row],[AMT Taxes]]&gt;0),Table1[[#This Row],[AMT Taxes]]-Table1[[#This Row],[Regular Taxes Owed]],0)</f>
        <v>0</v>
      </c>
      <c r="X237" s="9">
        <f>Table1[[#This Row],[Extra Taxes From Amt]]+Table1[[#This Row],[Federal Taxes Owed (No AMT)]]</f>
        <v>2930</v>
      </c>
      <c r="Y237" s="9">
        <f>IF(Table1[[#This Row],[taxable wages]]&gt;obamacare_surcharge_amount,obamacare_surcharge_percent*(Table1[[#This Row],[taxable wages]]-obamacare_surcharge_amount),0)</f>
        <v>0</v>
      </c>
      <c r="Z237" s="9">
        <f>Table1[[#This Row],[Federal Taxes Owed (Includes AMT)]]+Table1[[#This Row],[Obamacare surcharge premium]]</f>
        <v>2930</v>
      </c>
      <c r="AA237" s="9">
        <f>Table1[[#This Row],[taxable wages]]-Table1[[#This Row],[Federal Taxes Owed2]]</f>
        <v>97070</v>
      </c>
      <c r="AB237" s="51">
        <f t="shared" si="26"/>
        <v>0.15</v>
      </c>
      <c r="AC237" s="41"/>
      <c r="AD237" s="13"/>
      <c r="AE237" s="13"/>
    </row>
    <row r="238" spans="2:31" x14ac:dyDescent="0.3">
      <c r="B238" s="41">
        <f t="shared" si="27"/>
        <v>100500</v>
      </c>
      <c r="C238" s="1">
        <f>Table1[[#This Row],[taxable wages]]</f>
        <v>100500</v>
      </c>
      <c r="D238" s="1">
        <f>Table1[[#This Row],[taxable wages]]+interest+dividends+short_term_capital_gains+long_term_capital_gains</f>
        <v>100500</v>
      </c>
      <c r="E238" s="1">
        <f>MAX(Table1[[#This Row],[earned income for EITC]:[Agi For Eitc Calc]])</f>
        <v>100500</v>
      </c>
      <c r="F238" s="1">
        <f>Table1[[#This Row],[taxable wages]]+interest+dividends+short_term_capital_gains+long_term_capital_gains-(trad_ira_contributions+MIN(student_loan_interest_cap,student_loan_interest))</f>
        <v>100500</v>
      </c>
      <c r="G238" s="1">
        <f t="shared" si="23"/>
        <v>12600</v>
      </c>
      <c r="H238" s="1">
        <f t="shared" si="24"/>
        <v>28350</v>
      </c>
      <c r="I238" s="1">
        <f>MAX(0,Table1[[#This Row],[Agi]]-Table1[[#This Row],[Exemptions]]-Table1[[#This Row],[Effective Deductions]])</f>
        <v>59550</v>
      </c>
      <c r="J2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8005</v>
      </c>
      <c r="K238" s="1">
        <f t="shared" si="25"/>
        <v>5000</v>
      </c>
      <c r="L238" s="1">
        <f>IF(Table1[[#This Row],[Agi]]&gt;ctc_phase_out_begins,ctc_phase_out_rate*(Table1[[#This Row],[Agi]]-ctc_phase_out_begins),0)</f>
        <v>0</v>
      </c>
      <c r="M238" s="1">
        <f>MAX(Table1[[#This Row],[Child Tax Credit]]-Table1[[#This Row],[Child Tax Credit Phase Out]],0)</f>
        <v>5000</v>
      </c>
      <c r="N238" s="1">
        <f>MAX(Table1[[#This Row],[Regular Taxes Owed]]-Table1[[#This Row],[Effective Child Tax Credit]],0)</f>
        <v>3005</v>
      </c>
      <c r="O238" s="1">
        <f>MAX(MIN((Table1[[#This Row],[taxable wages]]-3000)*0.15,1000*num_kids_16_younger),0)</f>
        <v>5000</v>
      </c>
      <c r="P238" s="9">
        <f>IF(Table1[[#This Row],[Effective Child Tax Credit]]&gt;Table1[[#This Row],[Regular Taxes Owed]],Table1[[#This Row],[Additional Child Tax Credit ]]-Table1[[#This Row],[Regular Taxes Owed]],0)</f>
        <v>0</v>
      </c>
      <c r="Q2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8" s="1">
        <f>Table1[[#This Row],[Effective Additional Child Tax Credit]]+Table1[[#This Row],[Eitc]]</f>
        <v>0</v>
      </c>
      <c r="S238" s="9">
        <f>Table1[[#This Row],[Regular Taxes Owed - Effective Child Tax Credit]]-Table1[[#This Row],[Total Credits]]</f>
        <v>3005</v>
      </c>
      <c r="T238" s="9">
        <f>Table1[[#This Row],[taxable wages]]+interest+dividends+short_term_capital_gains+long_term_capital_gains-(charitable_donations+mortgage_interest)</f>
        <v>100500</v>
      </c>
      <c r="U238" s="9">
        <f>MAX(amt_exemption-amt_exemption_phase_out_rate*MAX(Table1[[#This Row],[taxable wages]]-amt_phase_out_begins,0),0)</f>
        <v>83800</v>
      </c>
      <c r="V2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4342</v>
      </c>
      <c r="W238" s="1">
        <f>IF(AND(Table1[[#This Row],[AMT Taxes]]&gt;Table1[[#This Row],[Regular Taxes Owed]],Table1[[#This Row],[AMT Taxes]]&gt;0),Table1[[#This Row],[AMT Taxes]]-Table1[[#This Row],[Regular Taxes Owed]],0)</f>
        <v>0</v>
      </c>
      <c r="X238" s="9">
        <f>Table1[[#This Row],[Extra Taxes From Amt]]+Table1[[#This Row],[Federal Taxes Owed (No AMT)]]</f>
        <v>3005</v>
      </c>
      <c r="Y238" s="9">
        <f>IF(Table1[[#This Row],[taxable wages]]&gt;obamacare_surcharge_amount,obamacare_surcharge_percent*(Table1[[#This Row],[taxable wages]]-obamacare_surcharge_amount),0)</f>
        <v>0</v>
      </c>
      <c r="Z238" s="9">
        <f>Table1[[#This Row],[Federal Taxes Owed (Includes AMT)]]+Table1[[#This Row],[Obamacare surcharge premium]]</f>
        <v>3005</v>
      </c>
      <c r="AA238" s="9">
        <f>Table1[[#This Row],[taxable wages]]-Table1[[#This Row],[Federal Taxes Owed2]]</f>
        <v>97495</v>
      </c>
      <c r="AB238" s="51">
        <f t="shared" si="26"/>
        <v>0.15</v>
      </c>
      <c r="AC238" s="41"/>
      <c r="AD238" s="13"/>
      <c r="AE238" s="13"/>
    </row>
    <row r="239" spans="2:31" x14ac:dyDescent="0.3">
      <c r="B239" s="41">
        <f t="shared" si="27"/>
        <v>101000</v>
      </c>
      <c r="C239" s="1">
        <f>Table1[[#This Row],[taxable wages]]</f>
        <v>101000</v>
      </c>
      <c r="D239" s="1">
        <f>Table1[[#This Row],[taxable wages]]+interest+dividends+short_term_capital_gains+long_term_capital_gains</f>
        <v>101000</v>
      </c>
      <c r="E239" s="1">
        <f>MAX(Table1[[#This Row],[earned income for EITC]:[Agi For Eitc Calc]])</f>
        <v>101000</v>
      </c>
      <c r="F239" s="1">
        <f>Table1[[#This Row],[taxable wages]]+interest+dividends+short_term_capital_gains+long_term_capital_gains-(trad_ira_contributions+MIN(student_loan_interest_cap,student_loan_interest))</f>
        <v>101000</v>
      </c>
      <c r="G239" s="1">
        <f t="shared" si="23"/>
        <v>12600</v>
      </c>
      <c r="H239" s="1">
        <f t="shared" si="24"/>
        <v>28350</v>
      </c>
      <c r="I239" s="1">
        <f>MAX(0,Table1[[#This Row],[Agi]]-Table1[[#This Row],[Exemptions]]-Table1[[#This Row],[Effective Deductions]])</f>
        <v>60050</v>
      </c>
      <c r="J2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8080</v>
      </c>
      <c r="K239" s="1">
        <f t="shared" si="25"/>
        <v>5000</v>
      </c>
      <c r="L239" s="1">
        <f>IF(Table1[[#This Row],[Agi]]&gt;ctc_phase_out_begins,ctc_phase_out_rate*(Table1[[#This Row],[Agi]]-ctc_phase_out_begins),0)</f>
        <v>0</v>
      </c>
      <c r="M239" s="1">
        <f>MAX(Table1[[#This Row],[Child Tax Credit]]-Table1[[#This Row],[Child Tax Credit Phase Out]],0)</f>
        <v>5000</v>
      </c>
      <c r="N239" s="1">
        <f>MAX(Table1[[#This Row],[Regular Taxes Owed]]-Table1[[#This Row],[Effective Child Tax Credit]],0)</f>
        <v>3080</v>
      </c>
      <c r="O239" s="1">
        <f>MAX(MIN((Table1[[#This Row],[taxable wages]]-3000)*0.15,1000*num_kids_16_younger),0)</f>
        <v>5000</v>
      </c>
      <c r="P239" s="9">
        <f>IF(Table1[[#This Row],[Effective Child Tax Credit]]&gt;Table1[[#This Row],[Regular Taxes Owed]],Table1[[#This Row],[Additional Child Tax Credit ]]-Table1[[#This Row],[Regular Taxes Owed]],0)</f>
        <v>0</v>
      </c>
      <c r="Q2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39" s="1">
        <f>Table1[[#This Row],[Effective Additional Child Tax Credit]]+Table1[[#This Row],[Eitc]]</f>
        <v>0</v>
      </c>
      <c r="S239" s="9">
        <f>Table1[[#This Row],[Regular Taxes Owed - Effective Child Tax Credit]]-Table1[[#This Row],[Total Credits]]</f>
        <v>3080</v>
      </c>
      <c r="T239" s="9">
        <f>Table1[[#This Row],[taxable wages]]+interest+dividends+short_term_capital_gains+long_term_capital_gains-(charitable_donations+mortgage_interest)</f>
        <v>101000</v>
      </c>
      <c r="U239" s="9">
        <f>MAX(amt_exemption-amt_exemption_phase_out_rate*MAX(Table1[[#This Row],[taxable wages]]-amt_phase_out_begins,0),0)</f>
        <v>83800</v>
      </c>
      <c r="V2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4472</v>
      </c>
      <c r="W239" s="1">
        <f>IF(AND(Table1[[#This Row],[AMT Taxes]]&gt;Table1[[#This Row],[Regular Taxes Owed]],Table1[[#This Row],[AMT Taxes]]&gt;0),Table1[[#This Row],[AMT Taxes]]-Table1[[#This Row],[Regular Taxes Owed]],0)</f>
        <v>0</v>
      </c>
      <c r="X239" s="9">
        <f>Table1[[#This Row],[Extra Taxes From Amt]]+Table1[[#This Row],[Federal Taxes Owed (No AMT)]]</f>
        <v>3080</v>
      </c>
      <c r="Y239" s="9">
        <f>IF(Table1[[#This Row],[taxable wages]]&gt;obamacare_surcharge_amount,obamacare_surcharge_percent*(Table1[[#This Row],[taxable wages]]-obamacare_surcharge_amount),0)</f>
        <v>0</v>
      </c>
      <c r="Z239" s="9">
        <f>Table1[[#This Row],[Federal Taxes Owed (Includes AMT)]]+Table1[[#This Row],[Obamacare surcharge premium]]</f>
        <v>3080</v>
      </c>
      <c r="AA239" s="9">
        <f>Table1[[#This Row],[taxable wages]]-Table1[[#This Row],[Federal Taxes Owed2]]</f>
        <v>97920</v>
      </c>
      <c r="AB239" s="51">
        <f t="shared" si="26"/>
        <v>0.15</v>
      </c>
      <c r="AC239" s="41"/>
      <c r="AD239" s="13"/>
      <c r="AE239" s="13"/>
    </row>
    <row r="240" spans="2:31" x14ac:dyDescent="0.3">
      <c r="B240" s="41">
        <f t="shared" si="27"/>
        <v>101500</v>
      </c>
      <c r="C240" s="1">
        <f>Table1[[#This Row],[taxable wages]]</f>
        <v>101500</v>
      </c>
      <c r="D240" s="1">
        <f>Table1[[#This Row],[taxable wages]]+interest+dividends+short_term_capital_gains+long_term_capital_gains</f>
        <v>101500</v>
      </c>
      <c r="E240" s="1">
        <f>MAX(Table1[[#This Row],[earned income for EITC]:[Agi For Eitc Calc]])</f>
        <v>101500</v>
      </c>
      <c r="F240" s="1">
        <f>Table1[[#This Row],[taxable wages]]+interest+dividends+short_term_capital_gains+long_term_capital_gains-(trad_ira_contributions+MIN(student_loan_interest_cap,student_loan_interest))</f>
        <v>101500</v>
      </c>
      <c r="G240" s="1">
        <f t="shared" si="23"/>
        <v>12600</v>
      </c>
      <c r="H240" s="1">
        <f t="shared" si="24"/>
        <v>28350</v>
      </c>
      <c r="I240" s="1">
        <f>MAX(0,Table1[[#This Row],[Agi]]-Table1[[#This Row],[Exemptions]]-Table1[[#This Row],[Effective Deductions]])</f>
        <v>60550</v>
      </c>
      <c r="J2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8155</v>
      </c>
      <c r="K240" s="1">
        <f t="shared" si="25"/>
        <v>5000</v>
      </c>
      <c r="L240" s="1">
        <f>IF(Table1[[#This Row],[Agi]]&gt;ctc_phase_out_begins,ctc_phase_out_rate*(Table1[[#This Row],[Agi]]-ctc_phase_out_begins),0)</f>
        <v>0</v>
      </c>
      <c r="M240" s="1">
        <f>MAX(Table1[[#This Row],[Child Tax Credit]]-Table1[[#This Row],[Child Tax Credit Phase Out]],0)</f>
        <v>5000</v>
      </c>
      <c r="N240" s="1">
        <f>MAX(Table1[[#This Row],[Regular Taxes Owed]]-Table1[[#This Row],[Effective Child Tax Credit]],0)</f>
        <v>3155</v>
      </c>
      <c r="O240" s="1">
        <f>MAX(MIN((Table1[[#This Row],[taxable wages]]-3000)*0.15,1000*num_kids_16_younger),0)</f>
        <v>5000</v>
      </c>
      <c r="P240" s="9">
        <f>IF(Table1[[#This Row],[Effective Child Tax Credit]]&gt;Table1[[#This Row],[Regular Taxes Owed]],Table1[[#This Row],[Additional Child Tax Credit ]]-Table1[[#This Row],[Regular Taxes Owed]],0)</f>
        <v>0</v>
      </c>
      <c r="Q2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0" s="1">
        <f>Table1[[#This Row],[Effective Additional Child Tax Credit]]+Table1[[#This Row],[Eitc]]</f>
        <v>0</v>
      </c>
      <c r="S240" s="9">
        <f>Table1[[#This Row],[Regular Taxes Owed - Effective Child Tax Credit]]-Table1[[#This Row],[Total Credits]]</f>
        <v>3155</v>
      </c>
      <c r="T240" s="9">
        <f>Table1[[#This Row],[taxable wages]]+interest+dividends+short_term_capital_gains+long_term_capital_gains-(charitable_donations+mortgage_interest)</f>
        <v>101500</v>
      </c>
      <c r="U240" s="9">
        <f>MAX(amt_exemption-amt_exemption_phase_out_rate*MAX(Table1[[#This Row],[taxable wages]]-amt_phase_out_begins,0),0)</f>
        <v>83800</v>
      </c>
      <c r="V2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4602</v>
      </c>
      <c r="W240" s="1">
        <f>IF(AND(Table1[[#This Row],[AMT Taxes]]&gt;Table1[[#This Row],[Regular Taxes Owed]],Table1[[#This Row],[AMT Taxes]]&gt;0),Table1[[#This Row],[AMT Taxes]]-Table1[[#This Row],[Regular Taxes Owed]],0)</f>
        <v>0</v>
      </c>
      <c r="X240" s="9">
        <f>Table1[[#This Row],[Extra Taxes From Amt]]+Table1[[#This Row],[Federal Taxes Owed (No AMT)]]</f>
        <v>3155</v>
      </c>
      <c r="Y240" s="9">
        <f>IF(Table1[[#This Row],[taxable wages]]&gt;obamacare_surcharge_amount,obamacare_surcharge_percent*(Table1[[#This Row],[taxable wages]]-obamacare_surcharge_amount),0)</f>
        <v>0</v>
      </c>
      <c r="Z240" s="9">
        <f>Table1[[#This Row],[Federal Taxes Owed (Includes AMT)]]+Table1[[#This Row],[Obamacare surcharge premium]]</f>
        <v>3155</v>
      </c>
      <c r="AA240" s="9">
        <f>Table1[[#This Row],[taxable wages]]-Table1[[#This Row],[Federal Taxes Owed2]]</f>
        <v>98345</v>
      </c>
      <c r="AB240" s="51">
        <f t="shared" si="26"/>
        <v>0.15</v>
      </c>
      <c r="AC240" s="41"/>
      <c r="AD240" s="13"/>
      <c r="AE240" s="13"/>
    </row>
    <row r="241" spans="2:31" x14ac:dyDescent="0.3">
      <c r="B241" s="41">
        <f t="shared" si="27"/>
        <v>102000</v>
      </c>
      <c r="C241" s="1">
        <f>Table1[[#This Row],[taxable wages]]</f>
        <v>102000</v>
      </c>
      <c r="D241" s="1">
        <f>Table1[[#This Row],[taxable wages]]+interest+dividends+short_term_capital_gains+long_term_capital_gains</f>
        <v>102000</v>
      </c>
      <c r="E241" s="1">
        <f>MAX(Table1[[#This Row],[earned income for EITC]:[Agi For Eitc Calc]])</f>
        <v>102000</v>
      </c>
      <c r="F241" s="1">
        <f>Table1[[#This Row],[taxable wages]]+interest+dividends+short_term_capital_gains+long_term_capital_gains-(trad_ira_contributions+MIN(student_loan_interest_cap,student_loan_interest))</f>
        <v>102000</v>
      </c>
      <c r="G241" s="1">
        <f t="shared" si="23"/>
        <v>12600</v>
      </c>
      <c r="H241" s="1">
        <f t="shared" si="24"/>
        <v>28350</v>
      </c>
      <c r="I241" s="1">
        <f>MAX(0,Table1[[#This Row],[Agi]]-Table1[[#This Row],[Exemptions]]-Table1[[#This Row],[Effective Deductions]])</f>
        <v>61050</v>
      </c>
      <c r="J2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8230</v>
      </c>
      <c r="K241" s="1">
        <f t="shared" si="25"/>
        <v>5000</v>
      </c>
      <c r="L241" s="1">
        <f>IF(Table1[[#This Row],[Agi]]&gt;ctc_phase_out_begins,ctc_phase_out_rate*(Table1[[#This Row],[Agi]]-ctc_phase_out_begins),0)</f>
        <v>0</v>
      </c>
      <c r="M241" s="1">
        <f>MAX(Table1[[#This Row],[Child Tax Credit]]-Table1[[#This Row],[Child Tax Credit Phase Out]],0)</f>
        <v>5000</v>
      </c>
      <c r="N241" s="1">
        <f>MAX(Table1[[#This Row],[Regular Taxes Owed]]-Table1[[#This Row],[Effective Child Tax Credit]],0)</f>
        <v>3230</v>
      </c>
      <c r="O241" s="1">
        <f>MAX(MIN((Table1[[#This Row],[taxable wages]]-3000)*0.15,1000*num_kids_16_younger),0)</f>
        <v>5000</v>
      </c>
      <c r="P241" s="9">
        <f>IF(Table1[[#This Row],[Effective Child Tax Credit]]&gt;Table1[[#This Row],[Regular Taxes Owed]],Table1[[#This Row],[Additional Child Tax Credit ]]-Table1[[#This Row],[Regular Taxes Owed]],0)</f>
        <v>0</v>
      </c>
      <c r="Q2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1" s="1">
        <f>Table1[[#This Row],[Effective Additional Child Tax Credit]]+Table1[[#This Row],[Eitc]]</f>
        <v>0</v>
      </c>
      <c r="S241" s="9">
        <f>Table1[[#This Row],[Regular Taxes Owed - Effective Child Tax Credit]]-Table1[[#This Row],[Total Credits]]</f>
        <v>3230</v>
      </c>
      <c r="T241" s="9">
        <f>Table1[[#This Row],[taxable wages]]+interest+dividends+short_term_capital_gains+long_term_capital_gains-(charitable_donations+mortgage_interest)</f>
        <v>102000</v>
      </c>
      <c r="U241" s="9">
        <f>MAX(amt_exemption-amt_exemption_phase_out_rate*MAX(Table1[[#This Row],[taxable wages]]-amt_phase_out_begins,0),0)</f>
        <v>83800</v>
      </c>
      <c r="V2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4732</v>
      </c>
      <c r="W241" s="1">
        <f>IF(AND(Table1[[#This Row],[AMT Taxes]]&gt;Table1[[#This Row],[Regular Taxes Owed]],Table1[[#This Row],[AMT Taxes]]&gt;0),Table1[[#This Row],[AMT Taxes]]-Table1[[#This Row],[Regular Taxes Owed]],0)</f>
        <v>0</v>
      </c>
      <c r="X241" s="9">
        <f>Table1[[#This Row],[Extra Taxes From Amt]]+Table1[[#This Row],[Federal Taxes Owed (No AMT)]]</f>
        <v>3230</v>
      </c>
      <c r="Y241" s="9">
        <f>IF(Table1[[#This Row],[taxable wages]]&gt;obamacare_surcharge_amount,obamacare_surcharge_percent*(Table1[[#This Row],[taxable wages]]-obamacare_surcharge_amount),0)</f>
        <v>0</v>
      </c>
      <c r="Z241" s="9">
        <f>Table1[[#This Row],[Federal Taxes Owed (Includes AMT)]]+Table1[[#This Row],[Obamacare surcharge premium]]</f>
        <v>3230</v>
      </c>
      <c r="AA241" s="9">
        <f>Table1[[#This Row],[taxable wages]]-Table1[[#This Row],[Federal Taxes Owed2]]</f>
        <v>98770</v>
      </c>
      <c r="AB241" s="51">
        <f t="shared" si="26"/>
        <v>0.15</v>
      </c>
      <c r="AC241" s="41"/>
      <c r="AD241" s="13"/>
      <c r="AE241" s="13"/>
    </row>
    <row r="242" spans="2:31" x14ac:dyDescent="0.3">
      <c r="B242" s="41">
        <f t="shared" si="27"/>
        <v>102500</v>
      </c>
      <c r="C242" s="1">
        <f>Table1[[#This Row],[taxable wages]]</f>
        <v>102500</v>
      </c>
      <c r="D242" s="1">
        <f>Table1[[#This Row],[taxable wages]]+interest+dividends+short_term_capital_gains+long_term_capital_gains</f>
        <v>102500</v>
      </c>
      <c r="E242" s="1">
        <f>MAX(Table1[[#This Row],[earned income for EITC]:[Agi For Eitc Calc]])</f>
        <v>102500</v>
      </c>
      <c r="F242" s="1">
        <f>Table1[[#This Row],[taxable wages]]+interest+dividends+short_term_capital_gains+long_term_capital_gains-(trad_ira_contributions+MIN(student_loan_interest_cap,student_loan_interest))</f>
        <v>102500</v>
      </c>
      <c r="G242" s="1">
        <f t="shared" si="23"/>
        <v>12600</v>
      </c>
      <c r="H242" s="1">
        <f t="shared" si="24"/>
        <v>28350</v>
      </c>
      <c r="I242" s="1">
        <f>MAX(0,Table1[[#This Row],[Agi]]-Table1[[#This Row],[Exemptions]]-Table1[[#This Row],[Effective Deductions]])</f>
        <v>61550</v>
      </c>
      <c r="J2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8305</v>
      </c>
      <c r="K242" s="1">
        <f t="shared" si="25"/>
        <v>5000</v>
      </c>
      <c r="L242" s="1">
        <f>IF(Table1[[#This Row],[Agi]]&gt;ctc_phase_out_begins,ctc_phase_out_rate*(Table1[[#This Row],[Agi]]-ctc_phase_out_begins),0)</f>
        <v>0</v>
      </c>
      <c r="M242" s="1">
        <f>MAX(Table1[[#This Row],[Child Tax Credit]]-Table1[[#This Row],[Child Tax Credit Phase Out]],0)</f>
        <v>5000</v>
      </c>
      <c r="N242" s="1">
        <f>MAX(Table1[[#This Row],[Regular Taxes Owed]]-Table1[[#This Row],[Effective Child Tax Credit]],0)</f>
        <v>3305</v>
      </c>
      <c r="O242" s="1">
        <f>MAX(MIN((Table1[[#This Row],[taxable wages]]-3000)*0.15,1000*num_kids_16_younger),0)</f>
        <v>5000</v>
      </c>
      <c r="P242" s="9">
        <f>IF(Table1[[#This Row],[Effective Child Tax Credit]]&gt;Table1[[#This Row],[Regular Taxes Owed]],Table1[[#This Row],[Additional Child Tax Credit ]]-Table1[[#This Row],[Regular Taxes Owed]],0)</f>
        <v>0</v>
      </c>
      <c r="Q2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2" s="1">
        <f>Table1[[#This Row],[Effective Additional Child Tax Credit]]+Table1[[#This Row],[Eitc]]</f>
        <v>0</v>
      </c>
      <c r="S242" s="9">
        <f>Table1[[#This Row],[Regular Taxes Owed - Effective Child Tax Credit]]-Table1[[#This Row],[Total Credits]]</f>
        <v>3305</v>
      </c>
      <c r="T242" s="9">
        <f>Table1[[#This Row],[taxable wages]]+interest+dividends+short_term_capital_gains+long_term_capital_gains-(charitable_donations+mortgage_interest)</f>
        <v>102500</v>
      </c>
      <c r="U242" s="9">
        <f>MAX(amt_exemption-amt_exemption_phase_out_rate*MAX(Table1[[#This Row],[taxable wages]]-amt_phase_out_begins,0),0)</f>
        <v>83800</v>
      </c>
      <c r="V2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4862</v>
      </c>
      <c r="W242" s="1">
        <f>IF(AND(Table1[[#This Row],[AMT Taxes]]&gt;Table1[[#This Row],[Regular Taxes Owed]],Table1[[#This Row],[AMT Taxes]]&gt;0),Table1[[#This Row],[AMT Taxes]]-Table1[[#This Row],[Regular Taxes Owed]],0)</f>
        <v>0</v>
      </c>
      <c r="X242" s="9">
        <f>Table1[[#This Row],[Extra Taxes From Amt]]+Table1[[#This Row],[Federal Taxes Owed (No AMT)]]</f>
        <v>3305</v>
      </c>
      <c r="Y242" s="9">
        <f>IF(Table1[[#This Row],[taxable wages]]&gt;obamacare_surcharge_amount,obamacare_surcharge_percent*(Table1[[#This Row],[taxable wages]]-obamacare_surcharge_amount),0)</f>
        <v>0</v>
      </c>
      <c r="Z242" s="9">
        <f>Table1[[#This Row],[Federal Taxes Owed (Includes AMT)]]+Table1[[#This Row],[Obamacare surcharge premium]]</f>
        <v>3305</v>
      </c>
      <c r="AA242" s="9">
        <f>Table1[[#This Row],[taxable wages]]-Table1[[#This Row],[Federal Taxes Owed2]]</f>
        <v>99195</v>
      </c>
      <c r="AB242" s="51">
        <f t="shared" si="26"/>
        <v>0.15</v>
      </c>
      <c r="AC242" s="41"/>
      <c r="AD242" s="13"/>
      <c r="AE242" s="13"/>
    </row>
    <row r="243" spans="2:31" x14ac:dyDescent="0.3">
      <c r="B243" s="41">
        <f t="shared" si="27"/>
        <v>103000</v>
      </c>
      <c r="C243" s="1">
        <f>Table1[[#This Row],[taxable wages]]</f>
        <v>103000</v>
      </c>
      <c r="D243" s="1">
        <f>Table1[[#This Row],[taxable wages]]+interest+dividends+short_term_capital_gains+long_term_capital_gains</f>
        <v>103000</v>
      </c>
      <c r="E243" s="1">
        <f>MAX(Table1[[#This Row],[earned income for EITC]:[Agi For Eitc Calc]])</f>
        <v>103000</v>
      </c>
      <c r="F243" s="1">
        <f>Table1[[#This Row],[taxable wages]]+interest+dividends+short_term_capital_gains+long_term_capital_gains-(trad_ira_contributions+MIN(student_loan_interest_cap,student_loan_interest))</f>
        <v>103000</v>
      </c>
      <c r="G243" s="1">
        <f t="shared" si="23"/>
        <v>12600</v>
      </c>
      <c r="H243" s="1">
        <f t="shared" si="24"/>
        <v>28350</v>
      </c>
      <c r="I243" s="1">
        <f>MAX(0,Table1[[#This Row],[Agi]]-Table1[[#This Row],[Exemptions]]-Table1[[#This Row],[Effective Deductions]])</f>
        <v>62050</v>
      </c>
      <c r="J2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8380</v>
      </c>
      <c r="K243" s="1">
        <f t="shared" si="25"/>
        <v>5000</v>
      </c>
      <c r="L243" s="1">
        <f>IF(Table1[[#This Row],[Agi]]&gt;ctc_phase_out_begins,ctc_phase_out_rate*(Table1[[#This Row],[Agi]]-ctc_phase_out_begins),0)</f>
        <v>0</v>
      </c>
      <c r="M243" s="1">
        <f>MAX(Table1[[#This Row],[Child Tax Credit]]-Table1[[#This Row],[Child Tax Credit Phase Out]],0)</f>
        <v>5000</v>
      </c>
      <c r="N243" s="1">
        <f>MAX(Table1[[#This Row],[Regular Taxes Owed]]-Table1[[#This Row],[Effective Child Tax Credit]],0)</f>
        <v>3380</v>
      </c>
      <c r="O243" s="1">
        <f>MAX(MIN((Table1[[#This Row],[taxable wages]]-3000)*0.15,1000*num_kids_16_younger),0)</f>
        <v>5000</v>
      </c>
      <c r="P243" s="9">
        <f>IF(Table1[[#This Row],[Effective Child Tax Credit]]&gt;Table1[[#This Row],[Regular Taxes Owed]],Table1[[#This Row],[Additional Child Tax Credit ]]-Table1[[#This Row],[Regular Taxes Owed]],0)</f>
        <v>0</v>
      </c>
      <c r="Q2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3" s="1">
        <f>Table1[[#This Row],[Effective Additional Child Tax Credit]]+Table1[[#This Row],[Eitc]]</f>
        <v>0</v>
      </c>
      <c r="S243" s="9">
        <f>Table1[[#This Row],[Regular Taxes Owed - Effective Child Tax Credit]]-Table1[[#This Row],[Total Credits]]</f>
        <v>3380</v>
      </c>
      <c r="T243" s="9">
        <f>Table1[[#This Row],[taxable wages]]+interest+dividends+short_term_capital_gains+long_term_capital_gains-(charitable_donations+mortgage_interest)</f>
        <v>103000</v>
      </c>
      <c r="U243" s="9">
        <f>MAX(amt_exemption-amt_exemption_phase_out_rate*MAX(Table1[[#This Row],[taxable wages]]-amt_phase_out_begins,0),0)</f>
        <v>83800</v>
      </c>
      <c r="V2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4992</v>
      </c>
      <c r="W243" s="1">
        <f>IF(AND(Table1[[#This Row],[AMT Taxes]]&gt;Table1[[#This Row],[Regular Taxes Owed]],Table1[[#This Row],[AMT Taxes]]&gt;0),Table1[[#This Row],[AMT Taxes]]-Table1[[#This Row],[Regular Taxes Owed]],0)</f>
        <v>0</v>
      </c>
      <c r="X243" s="9">
        <f>Table1[[#This Row],[Extra Taxes From Amt]]+Table1[[#This Row],[Federal Taxes Owed (No AMT)]]</f>
        <v>3380</v>
      </c>
      <c r="Y243" s="9">
        <f>IF(Table1[[#This Row],[taxable wages]]&gt;obamacare_surcharge_amount,obamacare_surcharge_percent*(Table1[[#This Row],[taxable wages]]-obamacare_surcharge_amount),0)</f>
        <v>0</v>
      </c>
      <c r="Z243" s="9">
        <f>Table1[[#This Row],[Federal Taxes Owed (Includes AMT)]]+Table1[[#This Row],[Obamacare surcharge premium]]</f>
        <v>3380</v>
      </c>
      <c r="AA243" s="9">
        <f>Table1[[#This Row],[taxable wages]]-Table1[[#This Row],[Federal Taxes Owed2]]</f>
        <v>99620</v>
      </c>
      <c r="AB243" s="51">
        <f t="shared" si="26"/>
        <v>0.15</v>
      </c>
      <c r="AC243" s="41"/>
      <c r="AD243" s="13"/>
      <c r="AE243" s="13"/>
    </row>
    <row r="244" spans="2:31" x14ac:dyDescent="0.3">
      <c r="B244" s="41">
        <f t="shared" si="27"/>
        <v>103500</v>
      </c>
      <c r="C244" s="1">
        <f>Table1[[#This Row],[taxable wages]]</f>
        <v>103500</v>
      </c>
      <c r="D244" s="1">
        <f>Table1[[#This Row],[taxable wages]]+interest+dividends+short_term_capital_gains+long_term_capital_gains</f>
        <v>103500</v>
      </c>
      <c r="E244" s="1">
        <f>MAX(Table1[[#This Row],[earned income for EITC]:[Agi For Eitc Calc]])</f>
        <v>103500</v>
      </c>
      <c r="F244" s="1">
        <f>Table1[[#This Row],[taxable wages]]+interest+dividends+short_term_capital_gains+long_term_capital_gains-(trad_ira_contributions+MIN(student_loan_interest_cap,student_loan_interest))</f>
        <v>103500</v>
      </c>
      <c r="G244" s="1">
        <f t="shared" si="23"/>
        <v>12600</v>
      </c>
      <c r="H244" s="1">
        <f t="shared" si="24"/>
        <v>28350</v>
      </c>
      <c r="I244" s="1">
        <f>MAX(0,Table1[[#This Row],[Agi]]-Table1[[#This Row],[Exemptions]]-Table1[[#This Row],[Effective Deductions]])</f>
        <v>62550</v>
      </c>
      <c r="J2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8455</v>
      </c>
      <c r="K244" s="1">
        <f t="shared" si="25"/>
        <v>5000</v>
      </c>
      <c r="L244" s="1">
        <f>IF(Table1[[#This Row],[Agi]]&gt;ctc_phase_out_begins,ctc_phase_out_rate*(Table1[[#This Row],[Agi]]-ctc_phase_out_begins),0)</f>
        <v>0</v>
      </c>
      <c r="M244" s="1">
        <f>MAX(Table1[[#This Row],[Child Tax Credit]]-Table1[[#This Row],[Child Tax Credit Phase Out]],0)</f>
        <v>5000</v>
      </c>
      <c r="N244" s="1">
        <f>MAX(Table1[[#This Row],[Regular Taxes Owed]]-Table1[[#This Row],[Effective Child Tax Credit]],0)</f>
        <v>3455</v>
      </c>
      <c r="O244" s="1">
        <f>MAX(MIN((Table1[[#This Row],[taxable wages]]-3000)*0.15,1000*num_kids_16_younger),0)</f>
        <v>5000</v>
      </c>
      <c r="P244" s="9">
        <f>IF(Table1[[#This Row],[Effective Child Tax Credit]]&gt;Table1[[#This Row],[Regular Taxes Owed]],Table1[[#This Row],[Additional Child Tax Credit ]]-Table1[[#This Row],[Regular Taxes Owed]],0)</f>
        <v>0</v>
      </c>
      <c r="Q2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4" s="1">
        <f>Table1[[#This Row],[Effective Additional Child Tax Credit]]+Table1[[#This Row],[Eitc]]</f>
        <v>0</v>
      </c>
      <c r="S244" s="9">
        <f>Table1[[#This Row],[Regular Taxes Owed - Effective Child Tax Credit]]-Table1[[#This Row],[Total Credits]]</f>
        <v>3455</v>
      </c>
      <c r="T244" s="9">
        <f>Table1[[#This Row],[taxable wages]]+interest+dividends+short_term_capital_gains+long_term_capital_gains-(charitable_donations+mortgage_interest)</f>
        <v>103500</v>
      </c>
      <c r="U244" s="9">
        <f>MAX(amt_exemption-amt_exemption_phase_out_rate*MAX(Table1[[#This Row],[taxable wages]]-amt_phase_out_begins,0),0)</f>
        <v>83800</v>
      </c>
      <c r="V2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5122</v>
      </c>
      <c r="W244" s="1">
        <f>IF(AND(Table1[[#This Row],[AMT Taxes]]&gt;Table1[[#This Row],[Regular Taxes Owed]],Table1[[#This Row],[AMT Taxes]]&gt;0),Table1[[#This Row],[AMT Taxes]]-Table1[[#This Row],[Regular Taxes Owed]],0)</f>
        <v>0</v>
      </c>
      <c r="X244" s="9">
        <f>Table1[[#This Row],[Extra Taxes From Amt]]+Table1[[#This Row],[Federal Taxes Owed (No AMT)]]</f>
        <v>3455</v>
      </c>
      <c r="Y244" s="9">
        <f>IF(Table1[[#This Row],[taxable wages]]&gt;obamacare_surcharge_amount,obamacare_surcharge_percent*(Table1[[#This Row],[taxable wages]]-obamacare_surcharge_amount),0)</f>
        <v>0</v>
      </c>
      <c r="Z244" s="9">
        <f>Table1[[#This Row],[Federal Taxes Owed (Includes AMT)]]+Table1[[#This Row],[Obamacare surcharge premium]]</f>
        <v>3455</v>
      </c>
      <c r="AA244" s="9">
        <f>Table1[[#This Row],[taxable wages]]-Table1[[#This Row],[Federal Taxes Owed2]]</f>
        <v>100045</v>
      </c>
      <c r="AB244" s="51">
        <f t="shared" si="26"/>
        <v>0.15</v>
      </c>
      <c r="AC244" s="41"/>
      <c r="AD244" s="13"/>
      <c r="AE244" s="13"/>
    </row>
    <row r="245" spans="2:31" x14ac:dyDescent="0.3">
      <c r="B245" s="41">
        <f t="shared" si="27"/>
        <v>104000</v>
      </c>
      <c r="C245" s="1">
        <f>Table1[[#This Row],[taxable wages]]</f>
        <v>104000</v>
      </c>
      <c r="D245" s="1">
        <f>Table1[[#This Row],[taxable wages]]+interest+dividends+short_term_capital_gains+long_term_capital_gains</f>
        <v>104000</v>
      </c>
      <c r="E245" s="1">
        <f>MAX(Table1[[#This Row],[earned income for EITC]:[Agi For Eitc Calc]])</f>
        <v>104000</v>
      </c>
      <c r="F245" s="1">
        <f>Table1[[#This Row],[taxable wages]]+interest+dividends+short_term_capital_gains+long_term_capital_gains-(trad_ira_contributions+MIN(student_loan_interest_cap,student_loan_interest))</f>
        <v>104000</v>
      </c>
      <c r="G245" s="1">
        <f t="shared" si="23"/>
        <v>12600</v>
      </c>
      <c r="H245" s="1">
        <f t="shared" si="24"/>
        <v>28350</v>
      </c>
      <c r="I245" s="1">
        <f>MAX(0,Table1[[#This Row],[Agi]]-Table1[[#This Row],[Exemptions]]-Table1[[#This Row],[Effective Deductions]])</f>
        <v>63050</v>
      </c>
      <c r="J2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8530</v>
      </c>
      <c r="K245" s="1">
        <f t="shared" si="25"/>
        <v>5000</v>
      </c>
      <c r="L245" s="1">
        <f>IF(Table1[[#This Row],[Agi]]&gt;ctc_phase_out_begins,ctc_phase_out_rate*(Table1[[#This Row],[Agi]]-ctc_phase_out_begins),0)</f>
        <v>0</v>
      </c>
      <c r="M245" s="1">
        <f>MAX(Table1[[#This Row],[Child Tax Credit]]-Table1[[#This Row],[Child Tax Credit Phase Out]],0)</f>
        <v>5000</v>
      </c>
      <c r="N245" s="1">
        <f>MAX(Table1[[#This Row],[Regular Taxes Owed]]-Table1[[#This Row],[Effective Child Tax Credit]],0)</f>
        <v>3530</v>
      </c>
      <c r="O245" s="1">
        <f>MAX(MIN((Table1[[#This Row],[taxable wages]]-3000)*0.15,1000*num_kids_16_younger),0)</f>
        <v>5000</v>
      </c>
      <c r="P245" s="9">
        <f>IF(Table1[[#This Row],[Effective Child Tax Credit]]&gt;Table1[[#This Row],[Regular Taxes Owed]],Table1[[#This Row],[Additional Child Tax Credit ]]-Table1[[#This Row],[Regular Taxes Owed]],0)</f>
        <v>0</v>
      </c>
      <c r="Q2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5" s="1">
        <f>Table1[[#This Row],[Effective Additional Child Tax Credit]]+Table1[[#This Row],[Eitc]]</f>
        <v>0</v>
      </c>
      <c r="S245" s="9">
        <f>Table1[[#This Row],[Regular Taxes Owed - Effective Child Tax Credit]]-Table1[[#This Row],[Total Credits]]</f>
        <v>3530</v>
      </c>
      <c r="T245" s="9">
        <f>Table1[[#This Row],[taxable wages]]+interest+dividends+short_term_capital_gains+long_term_capital_gains-(charitable_donations+mortgage_interest)</f>
        <v>104000</v>
      </c>
      <c r="U245" s="9">
        <f>MAX(amt_exemption-amt_exemption_phase_out_rate*MAX(Table1[[#This Row],[taxable wages]]-amt_phase_out_begins,0),0)</f>
        <v>83800</v>
      </c>
      <c r="V2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5252</v>
      </c>
      <c r="W245" s="1">
        <f>IF(AND(Table1[[#This Row],[AMT Taxes]]&gt;Table1[[#This Row],[Regular Taxes Owed]],Table1[[#This Row],[AMT Taxes]]&gt;0),Table1[[#This Row],[AMT Taxes]]-Table1[[#This Row],[Regular Taxes Owed]],0)</f>
        <v>0</v>
      </c>
      <c r="X245" s="9">
        <f>Table1[[#This Row],[Extra Taxes From Amt]]+Table1[[#This Row],[Federal Taxes Owed (No AMT)]]</f>
        <v>3530</v>
      </c>
      <c r="Y245" s="9">
        <f>IF(Table1[[#This Row],[taxable wages]]&gt;obamacare_surcharge_amount,obamacare_surcharge_percent*(Table1[[#This Row],[taxable wages]]-obamacare_surcharge_amount),0)</f>
        <v>0</v>
      </c>
      <c r="Z245" s="9">
        <f>Table1[[#This Row],[Federal Taxes Owed (Includes AMT)]]+Table1[[#This Row],[Obamacare surcharge premium]]</f>
        <v>3530</v>
      </c>
      <c r="AA245" s="9">
        <f>Table1[[#This Row],[taxable wages]]-Table1[[#This Row],[Federal Taxes Owed2]]</f>
        <v>100470</v>
      </c>
      <c r="AB245" s="51">
        <f t="shared" si="26"/>
        <v>0.15</v>
      </c>
      <c r="AC245" s="41"/>
      <c r="AD245" s="13"/>
      <c r="AE245" s="13"/>
    </row>
    <row r="246" spans="2:31" x14ac:dyDescent="0.3">
      <c r="B246" s="41">
        <f t="shared" si="27"/>
        <v>104500</v>
      </c>
      <c r="C246" s="1">
        <f>Table1[[#This Row],[taxable wages]]</f>
        <v>104500</v>
      </c>
      <c r="D246" s="1">
        <f>Table1[[#This Row],[taxable wages]]+interest+dividends+short_term_capital_gains+long_term_capital_gains</f>
        <v>104500</v>
      </c>
      <c r="E246" s="1">
        <f>MAX(Table1[[#This Row],[earned income for EITC]:[Agi For Eitc Calc]])</f>
        <v>104500</v>
      </c>
      <c r="F246" s="1">
        <f>Table1[[#This Row],[taxable wages]]+interest+dividends+short_term_capital_gains+long_term_capital_gains-(trad_ira_contributions+MIN(student_loan_interest_cap,student_loan_interest))</f>
        <v>104500</v>
      </c>
      <c r="G246" s="1">
        <f t="shared" si="23"/>
        <v>12600</v>
      </c>
      <c r="H246" s="1">
        <f t="shared" si="24"/>
        <v>28350</v>
      </c>
      <c r="I246" s="1">
        <f>MAX(0,Table1[[#This Row],[Agi]]-Table1[[#This Row],[Exemptions]]-Table1[[#This Row],[Effective Deductions]])</f>
        <v>63550</v>
      </c>
      <c r="J2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8605</v>
      </c>
      <c r="K246" s="1">
        <f t="shared" si="25"/>
        <v>5000</v>
      </c>
      <c r="L246" s="1">
        <f>IF(Table1[[#This Row],[Agi]]&gt;ctc_phase_out_begins,ctc_phase_out_rate*(Table1[[#This Row],[Agi]]-ctc_phase_out_begins),0)</f>
        <v>0</v>
      </c>
      <c r="M246" s="1">
        <f>MAX(Table1[[#This Row],[Child Tax Credit]]-Table1[[#This Row],[Child Tax Credit Phase Out]],0)</f>
        <v>5000</v>
      </c>
      <c r="N246" s="1">
        <f>MAX(Table1[[#This Row],[Regular Taxes Owed]]-Table1[[#This Row],[Effective Child Tax Credit]],0)</f>
        <v>3605</v>
      </c>
      <c r="O246" s="1">
        <f>MAX(MIN((Table1[[#This Row],[taxable wages]]-3000)*0.15,1000*num_kids_16_younger),0)</f>
        <v>5000</v>
      </c>
      <c r="P246" s="9">
        <f>IF(Table1[[#This Row],[Effective Child Tax Credit]]&gt;Table1[[#This Row],[Regular Taxes Owed]],Table1[[#This Row],[Additional Child Tax Credit ]]-Table1[[#This Row],[Regular Taxes Owed]],0)</f>
        <v>0</v>
      </c>
      <c r="Q2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6" s="1">
        <f>Table1[[#This Row],[Effective Additional Child Tax Credit]]+Table1[[#This Row],[Eitc]]</f>
        <v>0</v>
      </c>
      <c r="S246" s="9">
        <f>Table1[[#This Row],[Regular Taxes Owed - Effective Child Tax Credit]]-Table1[[#This Row],[Total Credits]]</f>
        <v>3605</v>
      </c>
      <c r="T246" s="9">
        <f>Table1[[#This Row],[taxable wages]]+interest+dividends+short_term_capital_gains+long_term_capital_gains-(charitable_donations+mortgage_interest)</f>
        <v>104500</v>
      </c>
      <c r="U246" s="9">
        <f>MAX(amt_exemption-amt_exemption_phase_out_rate*MAX(Table1[[#This Row],[taxable wages]]-amt_phase_out_begins,0),0)</f>
        <v>83800</v>
      </c>
      <c r="V2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5382</v>
      </c>
      <c r="W246" s="1">
        <f>IF(AND(Table1[[#This Row],[AMT Taxes]]&gt;Table1[[#This Row],[Regular Taxes Owed]],Table1[[#This Row],[AMT Taxes]]&gt;0),Table1[[#This Row],[AMT Taxes]]-Table1[[#This Row],[Regular Taxes Owed]],0)</f>
        <v>0</v>
      </c>
      <c r="X246" s="9">
        <f>Table1[[#This Row],[Extra Taxes From Amt]]+Table1[[#This Row],[Federal Taxes Owed (No AMT)]]</f>
        <v>3605</v>
      </c>
      <c r="Y246" s="9">
        <f>IF(Table1[[#This Row],[taxable wages]]&gt;obamacare_surcharge_amount,obamacare_surcharge_percent*(Table1[[#This Row],[taxable wages]]-obamacare_surcharge_amount),0)</f>
        <v>0</v>
      </c>
      <c r="Z246" s="9">
        <f>Table1[[#This Row],[Federal Taxes Owed (Includes AMT)]]+Table1[[#This Row],[Obamacare surcharge premium]]</f>
        <v>3605</v>
      </c>
      <c r="AA246" s="9">
        <f>Table1[[#This Row],[taxable wages]]-Table1[[#This Row],[Federal Taxes Owed2]]</f>
        <v>100895</v>
      </c>
      <c r="AB246" s="51">
        <f t="shared" si="26"/>
        <v>0.15</v>
      </c>
      <c r="AC246" s="41"/>
      <c r="AD246" s="13"/>
      <c r="AE246" s="13"/>
    </row>
    <row r="247" spans="2:31" x14ac:dyDescent="0.3">
      <c r="B247" s="41">
        <f t="shared" si="27"/>
        <v>105000</v>
      </c>
      <c r="C247" s="1">
        <f>Table1[[#This Row],[taxable wages]]</f>
        <v>105000</v>
      </c>
      <c r="D247" s="1">
        <f>Table1[[#This Row],[taxable wages]]+interest+dividends+short_term_capital_gains+long_term_capital_gains</f>
        <v>105000</v>
      </c>
      <c r="E247" s="1">
        <f>MAX(Table1[[#This Row],[earned income for EITC]:[Agi For Eitc Calc]])</f>
        <v>105000</v>
      </c>
      <c r="F247" s="1">
        <f>Table1[[#This Row],[taxable wages]]+interest+dividends+short_term_capital_gains+long_term_capital_gains-(trad_ira_contributions+MIN(student_loan_interest_cap,student_loan_interest))</f>
        <v>105000</v>
      </c>
      <c r="G247" s="1">
        <f t="shared" si="23"/>
        <v>12600</v>
      </c>
      <c r="H247" s="1">
        <f t="shared" si="24"/>
        <v>28350</v>
      </c>
      <c r="I247" s="1">
        <f>MAX(0,Table1[[#This Row],[Agi]]-Table1[[#This Row],[Exemptions]]-Table1[[#This Row],[Effective Deductions]])</f>
        <v>64050</v>
      </c>
      <c r="J2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8680</v>
      </c>
      <c r="K247" s="1">
        <f t="shared" si="25"/>
        <v>5000</v>
      </c>
      <c r="L247" s="1">
        <f>IF(Table1[[#This Row],[Agi]]&gt;ctc_phase_out_begins,ctc_phase_out_rate*(Table1[[#This Row],[Agi]]-ctc_phase_out_begins),0)</f>
        <v>0</v>
      </c>
      <c r="M247" s="1">
        <f>MAX(Table1[[#This Row],[Child Tax Credit]]-Table1[[#This Row],[Child Tax Credit Phase Out]],0)</f>
        <v>5000</v>
      </c>
      <c r="N247" s="1">
        <f>MAX(Table1[[#This Row],[Regular Taxes Owed]]-Table1[[#This Row],[Effective Child Tax Credit]],0)</f>
        <v>3680</v>
      </c>
      <c r="O247" s="1">
        <f>MAX(MIN((Table1[[#This Row],[taxable wages]]-3000)*0.15,1000*num_kids_16_younger),0)</f>
        <v>5000</v>
      </c>
      <c r="P247" s="9">
        <f>IF(Table1[[#This Row],[Effective Child Tax Credit]]&gt;Table1[[#This Row],[Regular Taxes Owed]],Table1[[#This Row],[Additional Child Tax Credit ]]-Table1[[#This Row],[Regular Taxes Owed]],0)</f>
        <v>0</v>
      </c>
      <c r="Q2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7" s="1">
        <f>Table1[[#This Row],[Effective Additional Child Tax Credit]]+Table1[[#This Row],[Eitc]]</f>
        <v>0</v>
      </c>
      <c r="S247" s="9">
        <f>Table1[[#This Row],[Regular Taxes Owed - Effective Child Tax Credit]]-Table1[[#This Row],[Total Credits]]</f>
        <v>3680</v>
      </c>
      <c r="T247" s="9">
        <f>Table1[[#This Row],[taxable wages]]+interest+dividends+short_term_capital_gains+long_term_capital_gains-(charitable_donations+mortgage_interest)</f>
        <v>105000</v>
      </c>
      <c r="U247" s="9">
        <f>MAX(amt_exemption-amt_exemption_phase_out_rate*MAX(Table1[[#This Row],[taxable wages]]-amt_phase_out_begins,0),0)</f>
        <v>83800</v>
      </c>
      <c r="V2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5512</v>
      </c>
      <c r="W247" s="1">
        <f>IF(AND(Table1[[#This Row],[AMT Taxes]]&gt;Table1[[#This Row],[Regular Taxes Owed]],Table1[[#This Row],[AMT Taxes]]&gt;0),Table1[[#This Row],[AMT Taxes]]-Table1[[#This Row],[Regular Taxes Owed]],0)</f>
        <v>0</v>
      </c>
      <c r="X247" s="9">
        <f>Table1[[#This Row],[Extra Taxes From Amt]]+Table1[[#This Row],[Federal Taxes Owed (No AMT)]]</f>
        <v>3680</v>
      </c>
      <c r="Y247" s="9">
        <f>IF(Table1[[#This Row],[taxable wages]]&gt;obamacare_surcharge_amount,obamacare_surcharge_percent*(Table1[[#This Row],[taxable wages]]-obamacare_surcharge_amount),0)</f>
        <v>0</v>
      </c>
      <c r="Z247" s="9">
        <f>Table1[[#This Row],[Federal Taxes Owed (Includes AMT)]]+Table1[[#This Row],[Obamacare surcharge premium]]</f>
        <v>3680</v>
      </c>
      <c r="AA247" s="9">
        <f>Table1[[#This Row],[taxable wages]]-Table1[[#This Row],[Federal Taxes Owed2]]</f>
        <v>101320</v>
      </c>
      <c r="AB247" s="51">
        <f t="shared" si="26"/>
        <v>0.15</v>
      </c>
      <c r="AC247" s="41"/>
      <c r="AD247" s="13"/>
      <c r="AE247" s="13"/>
    </row>
    <row r="248" spans="2:31" x14ac:dyDescent="0.3">
      <c r="B248" s="41">
        <f t="shared" si="27"/>
        <v>105500</v>
      </c>
      <c r="C248" s="1">
        <f>Table1[[#This Row],[taxable wages]]</f>
        <v>105500</v>
      </c>
      <c r="D248" s="1">
        <f>Table1[[#This Row],[taxable wages]]+interest+dividends+short_term_capital_gains+long_term_capital_gains</f>
        <v>105500</v>
      </c>
      <c r="E248" s="1">
        <f>MAX(Table1[[#This Row],[earned income for EITC]:[Agi For Eitc Calc]])</f>
        <v>105500</v>
      </c>
      <c r="F248" s="1">
        <f>Table1[[#This Row],[taxable wages]]+interest+dividends+short_term_capital_gains+long_term_capital_gains-(trad_ira_contributions+MIN(student_loan_interest_cap,student_loan_interest))</f>
        <v>105500</v>
      </c>
      <c r="G248" s="1">
        <f t="shared" si="23"/>
        <v>12600</v>
      </c>
      <c r="H248" s="1">
        <f t="shared" si="24"/>
        <v>28350</v>
      </c>
      <c r="I248" s="1">
        <f>MAX(0,Table1[[#This Row],[Agi]]-Table1[[#This Row],[Exemptions]]-Table1[[#This Row],[Effective Deductions]])</f>
        <v>64550</v>
      </c>
      <c r="J2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8755</v>
      </c>
      <c r="K248" s="1">
        <f t="shared" si="25"/>
        <v>5000</v>
      </c>
      <c r="L248" s="1">
        <f>IF(Table1[[#This Row],[Agi]]&gt;ctc_phase_out_begins,ctc_phase_out_rate*(Table1[[#This Row],[Agi]]-ctc_phase_out_begins),0)</f>
        <v>0</v>
      </c>
      <c r="M248" s="1">
        <f>MAX(Table1[[#This Row],[Child Tax Credit]]-Table1[[#This Row],[Child Tax Credit Phase Out]],0)</f>
        <v>5000</v>
      </c>
      <c r="N248" s="1">
        <f>MAX(Table1[[#This Row],[Regular Taxes Owed]]-Table1[[#This Row],[Effective Child Tax Credit]],0)</f>
        <v>3755</v>
      </c>
      <c r="O248" s="1">
        <f>MAX(MIN((Table1[[#This Row],[taxable wages]]-3000)*0.15,1000*num_kids_16_younger),0)</f>
        <v>5000</v>
      </c>
      <c r="P248" s="9">
        <f>IF(Table1[[#This Row],[Effective Child Tax Credit]]&gt;Table1[[#This Row],[Regular Taxes Owed]],Table1[[#This Row],[Additional Child Tax Credit ]]-Table1[[#This Row],[Regular Taxes Owed]],0)</f>
        <v>0</v>
      </c>
      <c r="Q2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8" s="1">
        <f>Table1[[#This Row],[Effective Additional Child Tax Credit]]+Table1[[#This Row],[Eitc]]</f>
        <v>0</v>
      </c>
      <c r="S248" s="9">
        <f>Table1[[#This Row],[Regular Taxes Owed - Effective Child Tax Credit]]-Table1[[#This Row],[Total Credits]]</f>
        <v>3755</v>
      </c>
      <c r="T248" s="9">
        <f>Table1[[#This Row],[taxable wages]]+interest+dividends+short_term_capital_gains+long_term_capital_gains-(charitable_donations+mortgage_interest)</f>
        <v>105500</v>
      </c>
      <c r="U248" s="9">
        <f>MAX(amt_exemption-amt_exemption_phase_out_rate*MAX(Table1[[#This Row],[taxable wages]]-amt_phase_out_begins,0),0)</f>
        <v>83800</v>
      </c>
      <c r="V2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5642</v>
      </c>
      <c r="W248" s="1">
        <f>IF(AND(Table1[[#This Row],[AMT Taxes]]&gt;Table1[[#This Row],[Regular Taxes Owed]],Table1[[#This Row],[AMT Taxes]]&gt;0),Table1[[#This Row],[AMT Taxes]]-Table1[[#This Row],[Regular Taxes Owed]],0)</f>
        <v>0</v>
      </c>
      <c r="X248" s="9">
        <f>Table1[[#This Row],[Extra Taxes From Amt]]+Table1[[#This Row],[Federal Taxes Owed (No AMT)]]</f>
        <v>3755</v>
      </c>
      <c r="Y248" s="9">
        <f>IF(Table1[[#This Row],[taxable wages]]&gt;obamacare_surcharge_amount,obamacare_surcharge_percent*(Table1[[#This Row],[taxable wages]]-obamacare_surcharge_amount),0)</f>
        <v>0</v>
      </c>
      <c r="Z248" s="9">
        <f>Table1[[#This Row],[Federal Taxes Owed (Includes AMT)]]+Table1[[#This Row],[Obamacare surcharge premium]]</f>
        <v>3755</v>
      </c>
      <c r="AA248" s="9">
        <f>Table1[[#This Row],[taxable wages]]-Table1[[#This Row],[Federal Taxes Owed2]]</f>
        <v>101745</v>
      </c>
      <c r="AB248" s="51">
        <f t="shared" si="26"/>
        <v>0.15</v>
      </c>
      <c r="AC248" s="41"/>
      <c r="AD248" s="13"/>
      <c r="AE248" s="13"/>
    </row>
    <row r="249" spans="2:31" x14ac:dyDescent="0.3">
      <c r="B249" s="41">
        <f t="shared" si="27"/>
        <v>106000</v>
      </c>
      <c r="C249" s="1">
        <f>Table1[[#This Row],[taxable wages]]</f>
        <v>106000</v>
      </c>
      <c r="D249" s="1">
        <f>Table1[[#This Row],[taxable wages]]+interest+dividends+short_term_capital_gains+long_term_capital_gains</f>
        <v>106000</v>
      </c>
      <c r="E249" s="1">
        <f>MAX(Table1[[#This Row],[earned income for EITC]:[Agi For Eitc Calc]])</f>
        <v>106000</v>
      </c>
      <c r="F249" s="1">
        <f>Table1[[#This Row],[taxable wages]]+interest+dividends+short_term_capital_gains+long_term_capital_gains-(trad_ira_contributions+MIN(student_loan_interest_cap,student_loan_interest))</f>
        <v>106000</v>
      </c>
      <c r="G249" s="1">
        <f t="shared" si="23"/>
        <v>12600</v>
      </c>
      <c r="H249" s="1">
        <f t="shared" si="24"/>
        <v>28350</v>
      </c>
      <c r="I249" s="1">
        <f>MAX(0,Table1[[#This Row],[Agi]]-Table1[[#This Row],[Exemptions]]-Table1[[#This Row],[Effective Deductions]])</f>
        <v>65050</v>
      </c>
      <c r="J2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8830</v>
      </c>
      <c r="K249" s="1">
        <f t="shared" si="25"/>
        <v>5000</v>
      </c>
      <c r="L249" s="1">
        <f>IF(Table1[[#This Row],[Agi]]&gt;ctc_phase_out_begins,ctc_phase_out_rate*(Table1[[#This Row],[Agi]]-ctc_phase_out_begins),0)</f>
        <v>0</v>
      </c>
      <c r="M249" s="1">
        <f>MAX(Table1[[#This Row],[Child Tax Credit]]-Table1[[#This Row],[Child Tax Credit Phase Out]],0)</f>
        <v>5000</v>
      </c>
      <c r="N249" s="1">
        <f>MAX(Table1[[#This Row],[Regular Taxes Owed]]-Table1[[#This Row],[Effective Child Tax Credit]],0)</f>
        <v>3830</v>
      </c>
      <c r="O249" s="1">
        <f>MAX(MIN((Table1[[#This Row],[taxable wages]]-3000)*0.15,1000*num_kids_16_younger),0)</f>
        <v>5000</v>
      </c>
      <c r="P249" s="9">
        <f>IF(Table1[[#This Row],[Effective Child Tax Credit]]&gt;Table1[[#This Row],[Regular Taxes Owed]],Table1[[#This Row],[Additional Child Tax Credit ]]-Table1[[#This Row],[Regular Taxes Owed]],0)</f>
        <v>0</v>
      </c>
      <c r="Q2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49" s="1">
        <f>Table1[[#This Row],[Effective Additional Child Tax Credit]]+Table1[[#This Row],[Eitc]]</f>
        <v>0</v>
      </c>
      <c r="S249" s="9">
        <f>Table1[[#This Row],[Regular Taxes Owed - Effective Child Tax Credit]]-Table1[[#This Row],[Total Credits]]</f>
        <v>3830</v>
      </c>
      <c r="T249" s="9">
        <f>Table1[[#This Row],[taxable wages]]+interest+dividends+short_term_capital_gains+long_term_capital_gains-(charitable_donations+mortgage_interest)</f>
        <v>106000</v>
      </c>
      <c r="U249" s="9">
        <f>MAX(amt_exemption-amt_exemption_phase_out_rate*MAX(Table1[[#This Row],[taxable wages]]-amt_phase_out_begins,0),0)</f>
        <v>83800</v>
      </c>
      <c r="V2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5772</v>
      </c>
      <c r="W249" s="1">
        <f>IF(AND(Table1[[#This Row],[AMT Taxes]]&gt;Table1[[#This Row],[Regular Taxes Owed]],Table1[[#This Row],[AMT Taxes]]&gt;0),Table1[[#This Row],[AMT Taxes]]-Table1[[#This Row],[Regular Taxes Owed]],0)</f>
        <v>0</v>
      </c>
      <c r="X249" s="9">
        <f>Table1[[#This Row],[Extra Taxes From Amt]]+Table1[[#This Row],[Federal Taxes Owed (No AMT)]]</f>
        <v>3830</v>
      </c>
      <c r="Y249" s="9">
        <f>IF(Table1[[#This Row],[taxable wages]]&gt;obamacare_surcharge_amount,obamacare_surcharge_percent*(Table1[[#This Row],[taxable wages]]-obamacare_surcharge_amount),0)</f>
        <v>0</v>
      </c>
      <c r="Z249" s="9">
        <f>Table1[[#This Row],[Federal Taxes Owed (Includes AMT)]]+Table1[[#This Row],[Obamacare surcharge premium]]</f>
        <v>3830</v>
      </c>
      <c r="AA249" s="9">
        <f>Table1[[#This Row],[taxable wages]]-Table1[[#This Row],[Federal Taxes Owed2]]</f>
        <v>102170</v>
      </c>
      <c r="AB249" s="51">
        <f t="shared" si="26"/>
        <v>0.15</v>
      </c>
      <c r="AC249" s="41"/>
      <c r="AD249" s="13"/>
      <c r="AE249" s="13"/>
    </row>
    <row r="250" spans="2:31" x14ac:dyDescent="0.3">
      <c r="B250" s="41">
        <f t="shared" si="27"/>
        <v>106500</v>
      </c>
      <c r="C250" s="1">
        <f>Table1[[#This Row],[taxable wages]]</f>
        <v>106500</v>
      </c>
      <c r="D250" s="1">
        <f>Table1[[#This Row],[taxable wages]]+interest+dividends+short_term_capital_gains+long_term_capital_gains</f>
        <v>106500</v>
      </c>
      <c r="E250" s="1">
        <f>MAX(Table1[[#This Row],[earned income for EITC]:[Agi For Eitc Calc]])</f>
        <v>106500</v>
      </c>
      <c r="F250" s="1">
        <f>Table1[[#This Row],[taxable wages]]+interest+dividends+short_term_capital_gains+long_term_capital_gains-(trad_ira_contributions+MIN(student_loan_interest_cap,student_loan_interest))</f>
        <v>106500</v>
      </c>
      <c r="G250" s="1">
        <f t="shared" si="23"/>
        <v>12600</v>
      </c>
      <c r="H250" s="1">
        <f t="shared" si="24"/>
        <v>28350</v>
      </c>
      <c r="I250" s="1">
        <f>MAX(0,Table1[[#This Row],[Agi]]-Table1[[#This Row],[Exemptions]]-Table1[[#This Row],[Effective Deductions]])</f>
        <v>65550</v>
      </c>
      <c r="J2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8905</v>
      </c>
      <c r="K250" s="1">
        <f t="shared" si="25"/>
        <v>5000</v>
      </c>
      <c r="L250" s="1">
        <f>IF(Table1[[#This Row],[Agi]]&gt;ctc_phase_out_begins,ctc_phase_out_rate*(Table1[[#This Row],[Agi]]-ctc_phase_out_begins),0)</f>
        <v>0</v>
      </c>
      <c r="M250" s="1">
        <f>MAX(Table1[[#This Row],[Child Tax Credit]]-Table1[[#This Row],[Child Tax Credit Phase Out]],0)</f>
        <v>5000</v>
      </c>
      <c r="N250" s="1">
        <f>MAX(Table1[[#This Row],[Regular Taxes Owed]]-Table1[[#This Row],[Effective Child Tax Credit]],0)</f>
        <v>3905</v>
      </c>
      <c r="O250" s="1">
        <f>MAX(MIN((Table1[[#This Row],[taxable wages]]-3000)*0.15,1000*num_kids_16_younger),0)</f>
        <v>5000</v>
      </c>
      <c r="P250" s="9">
        <f>IF(Table1[[#This Row],[Effective Child Tax Credit]]&gt;Table1[[#This Row],[Regular Taxes Owed]],Table1[[#This Row],[Additional Child Tax Credit ]]-Table1[[#This Row],[Regular Taxes Owed]],0)</f>
        <v>0</v>
      </c>
      <c r="Q2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0" s="1">
        <f>Table1[[#This Row],[Effective Additional Child Tax Credit]]+Table1[[#This Row],[Eitc]]</f>
        <v>0</v>
      </c>
      <c r="S250" s="9">
        <f>Table1[[#This Row],[Regular Taxes Owed - Effective Child Tax Credit]]-Table1[[#This Row],[Total Credits]]</f>
        <v>3905</v>
      </c>
      <c r="T250" s="9">
        <f>Table1[[#This Row],[taxable wages]]+interest+dividends+short_term_capital_gains+long_term_capital_gains-(charitable_donations+mortgage_interest)</f>
        <v>106500</v>
      </c>
      <c r="U250" s="9">
        <f>MAX(amt_exemption-amt_exemption_phase_out_rate*MAX(Table1[[#This Row],[taxable wages]]-amt_phase_out_begins,0),0)</f>
        <v>83800</v>
      </c>
      <c r="V2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5902</v>
      </c>
      <c r="W250" s="1">
        <f>IF(AND(Table1[[#This Row],[AMT Taxes]]&gt;Table1[[#This Row],[Regular Taxes Owed]],Table1[[#This Row],[AMT Taxes]]&gt;0),Table1[[#This Row],[AMT Taxes]]-Table1[[#This Row],[Regular Taxes Owed]],0)</f>
        <v>0</v>
      </c>
      <c r="X250" s="9">
        <f>Table1[[#This Row],[Extra Taxes From Amt]]+Table1[[#This Row],[Federal Taxes Owed (No AMT)]]</f>
        <v>3905</v>
      </c>
      <c r="Y250" s="9">
        <f>IF(Table1[[#This Row],[taxable wages]]&gt;obamacare_surcharge_amount,obamacare_surcharge_percent*(Table1[[#This Row],[taxable wages]]-obamacare_surcharge_amount),0)</f>
        <v>0</v>
      </c>
      <c r="Z250" s="9">
        <f>Table1[[#This Row],[Federal Taxes Owed (Includes AMT)]]+Table1[[#This Row],[Obamacare surcharge premium]]</f>
        <v>3905</v>
      </c>
      <c r="AA250" s="9">
        <f>Table1[[#This Row],[taxable wages]]-Table1[[#This Row],[Federal Taxes Owed2]]</f>
        <v>102595</v>
      </c>
      <c r="AB250" s="51">
        <f t="shared" si="26"/>
        <v>0.15</v>
      </c>
      <c r="AC250" s="41"/>
      <c r="AD250" s="13"/>
      <c r="AE250" s="13"/>
    </row>
    <row r="251" spans="2:31" x14ac:dyDescent="0.3">
      <c r="B251" s="41">
        <f t="shared" si="27"/>
        <v>107000</v>
      </c>
      <c r="C251" s="1">
        <f>Table1[[#This Row],[taxable wages]]</f>
        <v>107000</v>
      </c>
      <c r="D251" s="1">
        <f>Table1[[#This Row],[taxable wages]]+interest+dividends+short_term_capital_gains+long_term_capital_gains</f>
        <v>107000</v>
      </c>
      <c r="E251" s="1">
        <f>MAX(Table1[[#This Row],[earned income for EITC]:[Agi For Eitc Calc]])</f>
        <v>107000</v>
      </c>
      <c r="F251" s="1">
        <f>Table1[[#This Row],[taxable wages]]+interest+dividends+short_term_capital_gains+long_term_capital_gains-(trad_ira_contributions+MIN(student_loan_interest_cap,student_loan_interest))</f>
        <v>107000</v>
      </c>
      <c r="G251" s="1">
        <f t="shared" si="23"/>
        <v>12600</v>
      </c>
      <c r="H251" s="1">
        <f t="shared" si="24"/>
        <v>28350</v>
      </c>
      <c r="I251" s="1">
        <f>MAX(0,Table1[[#This Row],[Agi]]-Table1[[#This Row],[Exemptions]]-Table1[[#This Row],[Effective Deductions]])</f>
        <v>66050</v>
      </c>
      <c r="J2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8980</v>
      </c>
      <c r="K251" s="1">
        <f t="shared" si="25"/>
        <v>5000</v>
      </c>
      <c r="L251" s="1">
        <f>IF(Table1[[#This Row],[Agi]]&gt;ctc_phase_out_begins,ctc_phase_out_rate*(Table1[[#This Row],[Agi]]-ctc_phase_out_begins),0)</f>
        <v>0</v>
      </c>
      <c r="M251" s="1">
        <f>MAX(Table1[[#This Row],[Child Tax Credit]]-Table1[[#This Row],[Child Tax Credit Phase Out]],0)</f>
        <v>5000</v>
      </c>
      <c r="N251" s="1">
        <f>MAX(Table1[[#This Row],[Regular Taxes Owed]]-Table1[[#This Row],[Effective Child Tax Credit]],0)</f>
        <v>3980</v>
      </c>
      <c r="O251" s="1">
        <f>MAX(MIN((Table1[[#This Row],[taxable wages]]-3000)*0.15,1000*num_kids_16_younger),0)</f>
        <v>5000</v>
      </c>
      <c r="P251" s="9">
        <f>IF(Table1[[#This Row],[Effective Child Tax Credit]]&gt;Table1[[#This Row],[Regular Taxes Owed]],Table1[[#This Row],[Additional Child Tax Credit ]]-Table1[[#This Row],[Regular Taxes Owed]],0)</f>
        <v>0</v>
      </c>
      <c r="Q2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1" s="1">
        <f>Table1[[#This Row],[Effective Additional Child Tax Credit]]+Table1[[#This Row],[Eitc]]</f>
        <v>0</v>
      </c>
      <c r="S251" s="9">
        <f>Table1[[#This Row],[Regular Taxes Owed - Effective Child Tax Credit]]-Table1[[#This Row],[Total Credits]]</f>
        <v>3980</v>
      </c>
      <c r="T251" s="9">
        <f>Table1[[#This Row],[taxable wages]]+interest+dividends+short_term_capital_gains+long_term_capital_gains-(charitable_donations+mortgage_interest)</f>
        <v>107000</v>
      </c>
      <c r="U251" s="9">
        <f>MAX(amt_exemption-amt_exemption_phase_out_rate*MAX(Table1[[#This Row],[taxable wages]]-amt_phase_out_begins,0),0)</f>
        <v>83800</v>
      </c>
      <c r="V2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6032</v>
      </c>
      <c r="W251" s="1">
        <f>IF(AND(Table1[[#This Row],[AMT Taxes]]&gt;Table1[[#This Row],[Regular Taxes Owed]],Table1[[#This Row],[AMT Taxes]]&gt;0),Table1[[#This Row],[AMT Taxes]]-Table1[[#This Row],[Regular Taxes Owed]],0)</f>
        <v>0</v>
      </c>
      <c r="X251" s="9">
        <f>Table1[[#This Row],[Extra Taxes From Amt]]+Table1[[#This Row],[Federal Taxes Owed (No AMT)]]</f>
        <v>3980</v>
      </c>
      <c r="Y251" s="9">
        <f>IF(Table1[[#This Row],[taxable wages]]&gt;obamacare_surcharge_amount,obamacare_surcharge_percent*(Table1[[#This Row],[taxable wages]]-obamacare_surcharge_amount),0)</f>
        <v>0</v>
      </c>
      <c r="Z251" s="9">
        <f>Table1[[#This Row],[Federal Taxes Owed (Includes AMT)]]+Table1[[#This Row],[Obamacare surcharge premium]]</f>
        <v>3980</v>
      </c>
      <c r="AA251" s="9">
        <f>Table1[[#This Row],[taxable wages]]-Table1[[#This Row],[Federal Taxes Owed2]]</f>
        <v>103020</v>
      </c>
      <c r="AB251" s="51">
        <f t="shared" si="26"/>
        <v>0.15</v>
      </c>
      <c r="AC251" s="41"/>
      <c r="AD251" s="13"/>
      <c r="AE251" s="13"/>
    </row>
    <row r="252" spans="2:31" x14ac:dyDescent="0.3">
      <c r="B252" s="41">
        <f t="shared" si="27"/>
        <v>107500</v>
      </c>
      <c r="C252" s="1">
        <f>Table1[[#This Row],[taxable wages]]</f>
        <v>107500</v>
      </c>
      <c r="D252" s="1">
        <f>Table1[[#This Row],[taxable wages]]+interest+dividends+short_term_capital_gains+long_term_capital_gains</f>
        <v>107500</v>
      </c>
      <c r="E252" s="1">
        <f>MAX(Table1[[#This Row],[earned income for EITC]:[Agi For Eitc Calc]])</f>
        <v>107500</v>
      </c>
      <c r="F252" s="1">
        <f>Table1[[#This Row],[taxable wages]]+interest+dividends+short_term_capital_gains+long_term_capital_gains-(trad_ira_contributions+MIN(student_loan_interest_cap,student_loan_interest))</f>
        <v>107500</v>
      </c>
      <c r="G252" s="1">
        <f t="shared" si="23"/>
        <v>12600</v>
      </c>
      <c r="H252" s="1">
        <f t="shared" si="24"/>
        <v>28350</v>
      </c>
      <c r="I252" s="1">
        <f>MAX(0,Table1[[#This Row],[Agi]]-Table1[[#This Row],[Exemptions]]-Table1[[#This Row],[Effective Deductions]])</f>
        <v>66550</v>
      </c>
      <c r="J2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9055</v>
      </c>
      <c r="K252" s="1">
        <f t="shared" si="25"/>
        <v>5000</v>
      </c>
      <c r="L252" s="1">
        <f>IF(Table1[[#This Row],[Agi]]&gt;ctc_phase_out_begins,ctc_phase_out_rate*(Table1[[#This Row],[Agi]]-ctc_phase_out_begins),0)</f>
        <v>0</v>
      </c>
      <c r="M252" s="1">
        <f>MAX(Table1[[#This Row],[Child Tax Credit]]-Table1[[#This Row],[Child Tax Credit Phase Out]],0)</f>
        <v>5000</v>
      </c>
      <c r="N252" s="1">
        <f>MAX(Table1[[#This Row],[Regular Taxes Owed]]-Table1[[#This Row],[Effective Child Tax Credit]],0)</f>
        <v>4055</v>
      </c>
      <c r="O252" s="1">
        <f>MAX(MIN((Table1[[#This Row],[taxable wages]]-3000)*0.15,1000*num_kids_16_younger),0)</f>
        <v>5000</v>
      </c>
      <c r="P252" s="9">
        <f>IF(Table1[[#This Row],[Effective Child Tax Credit]]&gt;Table1[[#This Row],[Regular Taxes Owed]],Table1[[#This Row],[Additional Child Tax Credit ]]-Table1[[#This Row],[Regular Taxes Owed]],0)</f>
        <v>0</v>
      </c>
      <c r="Q2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2" s="1">
        <f>Table1[[#This Row],[Effective Additional Child Tax Credit]]+Table1[[#This Row],[Eitc]]</f>
        <v>0</v>
      </c>
      <c r="S252" s="9">
        <f>Table1[[#This Row],[Regular Taxes Owed - Effective Child Tax Credit]]-Table1[[#This Row],[Total Credits]]</f>
        <v>4055</v>
      </c>
      <c r="T252" s="9">
        <f>Table1[[#This Row],[taxable wages]]+interest+dividends+short_term_capital_gains+long_term_capital_gains-(charitable_donations+mortgage_interest)</f>
        <v>107500</v>
      </c>
      <c r="U252" s="9">
        <f>MAX(amt_exemption-amt_exemption_phase_out_rate*MAX(Table1[[#This Row],[taxable wages]]-amt_phase_out_begins,0),0)</f>
        <v>83800</v>
      </c>
      <c r="V2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6162</v>
      </c>
      <c r="W252" s="1">
        <f>IF(AND(Table1[[#This Row],[AMT Taxes]]&gt;Table1[[#This Row],[Regular Taxes Owed]],Table1[[#This Row],[AMT Taxes]]&gt;0),Table1[[#This Row],[AMT Taxes]]-Table1[[#This Row],[Regular Taxes Owed]],0)</f>
        <v>0</v>
      </c>
      <c r="X252" s="9">
        <f>Table1[[#This Row],[Extra Taxes From Amt]]+Table1[[#This Row],[Federal Taxes Owed (No AMT)]]</f>
        <v>4055</v>
      </c>
      <c r="Y252" s="9">
        <f>IF(Table1[[#This Row],[taxable wages]]&gt;obamacare_surcharge_amount,obamacare_surcharge_percent*(Table1[[#This Row],[taxable wages]]-obamacare_surcharge_amount),0)</f>
        <v>0</v>
      </c>
      <c r="Z252" s="9">
        <f>Table1[[#This Row],[Federal Taxes Owed (Includes AMT)]]+Table1[[#This Row],[Obamacare surcharge premium]]</f>
        <v>4055</v>
      </c>
      <c r="AA252" s="9">
        <f>Table1[[#This Row],[taxable wages]]-Table1[[#This Row],[Federal Taxes Owed2]]</f>
        <v>103445</v>
      </c>
      <c r="AB252" s="51">
        <f t="shared" si="26"/>
        <v>0.15</v>
      </c>
      <c r="AC252" s="41"/>
      <c r="AD252" s="13"/>
      <c r="AE252" s="13"/>
    </row>
    <row r="253" spans="2:31" x14ac:dyDescent="0.3">
      <c r="B253" s="41">
        <f t="shared" si="27"/>
        <v>108000</v>
      </c>
      <c r="C253" s="1">
        <f>Table1[[#This Row],[taxable wages]]</f>
        <v>108000</v>
      </c>
      <c r="D253" s="1">
        <f>Table1[[#This Row],[taxable wages]]+interest+dividends+short_term_capital_gains+long_term_capital_gains</f>
        <v>108000</v>
      </c>
      <c r="E253" s="1">
        <f>MAX(Table1[[#This Row],[earned income for EITC]:[Agi For Eitc Calc]])</f>
        <v>108000</v>
      </c>
      <c r="F253" s="1">
        <f>Table1[[#This Row],[taxable wages]]+interest+dividends+short_term_capital_gains+long_term_capital_gains-(trad_ira_contributions+MIN(student_loan_interest_cap,student_loan_interest))</f>
        <v>108000</v>
      </c>
      <c r="G253" s="1">
        <f t="shared" si="23"/>
        <v>12600</v>
      </c>
      <c r="H253" s="1">
        <f t="shared" si="24"/>
        <v>28350</v>
      </c>
      <c r="I253" s="1">
        <f>MAX(0,Table1[[#This Row],[Agi]]-Table1[[#This Row],[Exemptions]]-Table1[[#This Row],[Effective Deductions]])</f>
        <v>67050</v>
      </c>
      <c r="J2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9130</v>
      </c>
      <c r="K253" s="1">
        <f t="shared" si="25"/>
        <v>5000</v>
      </c>
      <c r="L253" s="1">
        <f>IF(Table1[[#This Row],[Agi]]&gt;ctc_phase_out_begins,ctc_phase_out_rate*(Table1[[#This Row],[Agi]]-ctc_phase_out_begins),0)</f>
        <v>0</v>
      </c>
      <c r="M253" s="1">
        <f>MAX(Table1[[#This Row],[Child Tax Credit]]-Table1[[#This Row],[Child Tax Credit Phase Out]],0)</f>
        <v>5000</v>
      </c>
      <c r="N253" s="1">
        <f>MAX(Table1[[#This Row],[Regular Taxes Owed]]-Table1[[#This Row],[Effective Child Tax Credit]],0)</f>
        <v>4130</v>
      </c>
      <c r="O253" s="1">
        <f>MAX(MIN((Table1[[#This Row],[taxable wages]]-3000)*0.15,1000*num_kids_16_younger),0)</f>
        <v>5000</v>
      </c>
      <c r="P253" s="9">
        <f>IF(Table1[[#This Row],[Effective Child Tax Credit]]&gt;Table1[[#This Row],[Regular Taxes Owed]],Table1[[#This Row],[Additional Child Tax Credit ]]-Table1[[#This Row],[Regular Taxes Owed]],0)</f>
        <v>0</v>
      </c>
      <c r="Q2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3" s="1">
        <f>Table1[[#This Row],[Effective Additional Child Tax Credit]]+Table1[[#This Row],[Eitc]]</f>
        <v>0</v>
      </c>
      <c r="S253" s="9">
        <f>Table1[[#This Row],[Regular Taxes Owed - Effective Child Tax Credit]]-Table1[[#This Row],[Total Credits]]</f>
        <v>4130</v>
      </c>
      <c r="T253" s="9">
        <f>Table1[[#This Row],[taxable wages]]+interest+dividends+short_term_capital_gains+long_term_capital_gains-(charitable_donations+mortgage_interest)</f>
        <v>108000</v>
      </c>
      <c r="U253" s="9">
        <f>MAX(amt_exemption-amt_exemption_phase_out_rate*MAX(Table1[[#This Row],[taxable wages]]-amt_phase_out_begins,0),0)</f>
        <v>83800</v>
      </c>
      <c r="V2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6292</v>
      </c>
      <c r="W253" s="1">
        <f>IF(AND(Table1[[#This Row],[AMT Taxes]]&gt;Table1[[#This Row],[Regular Taxes Owed]],Table1[[#This Row],[AMT Taxes]]&gt;0),Table1[[#This Row],[AMT Taxes]]-Table1[[#This Row],[Regular Taxes Owed]],0)</f>
        <v>0</v>
      </c>
      <c r="X253" s="9">
        <f>Table1[[#This Row],[Extra Taxes From Amt]]+Table1[[#This Row],[Federal Taxes Owed (No AMT)]]</f>
        <v>4130</v>
      </c>
      <c r="Y253" s="9">
        <f>IF(Table1[[#This Row],[taxable wages]]&gt;obamacare_surcharge_amount,obamacare_surcharge_percent*(Table1[[#This Row],[taxable wages]]-obamacare_surcharge_amount),0)</f>
        <v>0</v>
      </c>
      <c r="Z253" s="9">
        <f>Table1[[#This Row],[Federal Taxes Owed (Includes AMT)]]+Table1[[#This Row],[Obamacare surcharge premium]]</f>
        <v>4130</v>
      </c>
      <c r="AA253" s="9">
        <f>Table1[[#This Row],[taxable wages]]-Table1[[#This Row],[Federal Taxes Owed2]]</f>
        <v>103870</v>
      </c>
      <c r="AB253" s="51">
        <f t="shared" si="26"/>
        <v>0.15</v>
      </c>
      <c r="AC253" s="41"/>
      <c r="AD253" s="13"/>
      <c r="AE253" s="13"/>
    </row>
    <row r="254" spans="2:31" x14ac:dyDescent="0.3">
      <c r="B254" s="41">
        <f t="shared" si="27"/>
        <v>108500</v>
      </c>
      <c r="C254" s="1">
        <f>Table1[[#This Row],[taxable wages]]</f>
        <v>108500</v>
      </c>
      <c r="D254" s="1">
        <f>Table1[[#This Row],[taxable wages]]+interest+dividends+short_term_capital_gains+long_term_capital_gains</f>
        <v>108500</v>
      </c>
      <c r="E254" s="1">
        <f>MAX(Table1[[#This Row],[earned income for EITC]:[Agi For Eitc Calc]])</f>
        <v>108500</v>
      </c>
      <c r="F254" s="1">
        <f>Table1[[#This Row],[taxable wages]]+interest+dividends+short_term_capital_gains+long_term_capital_gains-(trad_ira_contributions+MIN(student_loan_interest_cap,student_loan_interest))</f>
        <v>108500</v>
      </c>
      <c r="G254" s="1">
        <f t="shared" si="23"/>
        <v>12600</v>
      </c>
      <c r="H254" s="1">
        <f t="shared" si="24"/>
        <v>28350</v>
      </c>
      <c r="I254" s="1">
        <f>MAX(0,Table1[[#This Row],[Agi]]-Table1[[#This Row],[Exemptions]]-Table1[[#This Row],[Effective Deductions]])</f>
        <v>67550</v>
      </c>
      <c r="J2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9205</v>
      </c>
      <c r="K254" s="1">
        <f t="shared" si="25"/>
        <v>5000</v>
      </c>
      <c r="L254" s="1">
        <f>IF(Table1[[#This Row],[Agi]]&gt;ctc_phase_out_begins,ctc_phase_out_rate*(Table1[[#This Row],[Agi]]-ctc_phase_out_begins),0)</f>
        <v>0</v>
      </c>
      <c r="M254" s="1">
        <f>MAX(Table1[[#This Row],[Child Tax Credit]]-Table1[[#This Row],[Child Tax Credit Phase Out]],0)</f>
        <v>5000</v>
      </c>
      <c r="N254" s="1">
        <f>MAX(Table1[[#This Row],[Regular Taxes Owed]]-Table1[[#This Row],[Effective Child Tax Credit]],0)</f>
        <v>4205</v>
      </c>
      <c r="O254" s="1">
        <f>MAX(MIN((Table1[[#This Row],[taxable wages]]-3000)*0.15,1000*num_kids_16_younger),0)</f>
        <v>5000</v>
      </c>
      <c r="P254" s="9">
        <f>IF(Table1[[#This Row],[Effective Child Tax Credit]]&gt;Table1[[#This Row],[Regular Taxes Owed]],Table1[[#This Row],[Additional Child Tax Credit ]]-Table1[[#This Row],[Regular Taxes Owed]],0)</f>
        <v>0</v>
      </c>
      <c r="Q2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4" s="1">
        <f>Table1[[#This Row],[Effective Additional Child Tax Credit]]+Table1[[#This Row],[Eitc]]</f>
        <v>0</v>
      </c>
      <c r="S254" s="9">
        <f>Table1[[#This Row],[Regular Taxes Owed - Effective Child Tax Credit]]-Table1[[#This Row],[Total Credits]]</f>
        <v>4205</v>
      </c>
      <c r="T254" s="9">
        <f>Table1[[#This Row],[taxable wages]]+interest+dividends+short_term_capital_gains+long_term_capital_gains-(charitable_donations+mortgage_interest)</f>
        <v>108500</v>
      </c>
      <c r="U254" s="9">
        <f>MAX(amt_exemption-amt_exemption_phase_out_rate*MAX(Table1[[#This Row],[taxable wages]]-amt_phase_out_begins,0),0)</f>
        <v>83800</v>
      </c>
      <c r="V2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6422</v>
      </c>
      <c r="W254" s="1">
        <f>IF(AND(Table1[[#This Row],[AMT Taxes]]&gt;Table1[[#This Row],[Regular Taxes Owed]],Table1[[#This Row],[AMT Taxes]]&gt;0),Table1[[#This Row],[AMT Taxes]]-Table1[[#This Row],[Regular Taxes Owed]],0)</f>
        <v>0</v>
      </c>
      <c r="X254" s="9">
        <f>Table1[[#This Row],[Extra Taxes From Amt]]+Table1[[#This Row],[Federal Taxes Owed (No AMT)]]</f>
        <v>4205</v>
      </c>
      <c r="Y254" s="9">
        <f>IF(Table1[[#This Row],[taxable wages]]&gt;obamacare_surcharge_amount,obamacare_surcharge_percent*(Table1[[#This Row],[taxable wages]]-obamacare_surcharge_amount),0)</f>
        <v>0</v>
      </c>
      <c r="Z254" s="9">
        <f>Table1[[#This Row],[Federal Taxes Owed (Includes AMT)]]+Table1[[#This Row],[Obamacare surcharge premium]]</f>
        <v>4205</v>
      </c>
      <c r="AA254" s="9">
        <f>Table1[[#This Row],[taxable wages]]-Table1[[#This Row],[Federal Taxes Owed2]]</f>
        <v>104295</v>
      </c>
      <c r="AB254" s="51">
        <f t="shared" si="26"/>
        <v>0.15</v>
      </c>
      <c r="AC254" s="41"/>
      <c r="AD254" s="13"/>
      <c r="AE254" s="13"/>
    </row>
    <row r="255" spans="2:31" x14ac:dyDescent="0.3">
      <c r="B255" s="41">
        <f t="shared" si="27"/>
        <v>109000</v>
      </c>
      <c r="C255" s="1">
        <f>Table1[[#This Row],[taxable wages]]</f>
        <v>109000</v>
      </c>
      <c r="D255" s="1">
        <f>Table1[[#This Row],[taxable wages]]+interest+dividends+short_term_capital_gains+long_term_capital_gains</f>
        <v>109000</v>
      </c>
      <c r="E255" s="1">
        <f>MAX(Table1[[#This Row],[earned income for EITC]:[Agi For Eitc Calc]])</f>
        <v>109000</v>
      </c>
      <c r="F255" s="1">
        <f>Table1[[#This Row],[taxable wages]]+interest+dividends+short_term_capital_gains+long_term_capital_gains-(trad_ira_contributions+MIN(student_loan_interest_cap,student_loan_interest))</f>
        <v>109000</v>
      </c>
      <c r="G255" s="1">
        <f t="shared" si="23"/>
        <v>12600</v>
      </c>
      <c r="H255" s="1">
        <f t="shared" si="24"/>
        <v>28350</v>
      </c>
      <c r="I255" s="1">
        <f>MAX(0,Table1[[#This Row],[Agi]]-Table1[[#This Row],[Exemptions]]-Table1[[#This Row],[Effective Deductions]])</f>
        <v>68050</v>
      </c>
      <c r="J2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9280</v>
      </c>
      <c r="K255" s="1">
        <f t="shared" si="25"/>
        <v>5000</v>
      </c>
      <c r="L255" s="1">
        <f>IF(Table1[[#This Row],[Agi]]&gt;ctc_phase_out_begins,ctc_phase_out_rate*(Table1[[#This Row],[Agi]]-ctc_phase_out_begins),0)</f>
        <v>0</v>
      </c>
      <c r="M255" s="1">
        <f>MAX(Table1[[#This Row],[Child Tax Credit]]-Table1[[#This Row],[Child Tax Credit Phase Out]],0)</f>
        <v>5000</v>
      </c>
      <c r="N255" s="1">
        <f>MAX(Table1[[#This Row],[Regular Taxes Owed]]-Table1[[#This Row],[Effective Child Tax Credit]],0)</f>
        <v>4280</v>
      </c>
      <c r="O255" s="1">
        <f>MAX(MIN((Table1[[#This Row],[taxable wages]]-3000)*0.15,1000*num_kids_16_younger),0)</f>
        <v>5000</v>
      </c>
      <c r="P255" s="9">
        <f>IF(Table1[[#This Row],[Effective Child Tax Credit]]&gt;Table1[[#This Row],[Regular Taxes Owed]],Table1[[#This Row],[Additional Child Tax Credit ]]-Table1[[#This Row],[Regular Taxes Owed]],0)</f>
        <v>0</v>
      </c>
      <c r="Q2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5" s="1">
        <f>Table1[[#This Row],[Effective Additional Child Tax Credit]]+Table1[[#This Row],[Eitc]]</f>
        <v>0</v>
      </c>
      <c r="S255" s="9">
        <f>Table1[[#This Row],[Regular Taxes Owed - Effective Child Tax Credit]]-Table1[[#This Row],[Total Credits]]</f>
        <v>4280</v>
      </c>
      <c r="T255" s="9">
        <f>Table1[[#This Row],[taxable wages]]+interest+dividends+short_term_capital_gains+long_term_capital_gains-(charitable_donations+mortgage_interest)</f>
        <v>109000</v>
      </c>
      <c r="U255" s="9">
        <f>MAX(amt_exemption-amt_exemption_phase_out_rate*MAX(Table1[[#This Row],[taxable wages]]-amt_phase_out_begins,0),0)</f>
        <v>83800</v>
      </c>
      <c r="V2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6552</v>
      </c>
      <c r="W255" s="1">
        <f>IF(AND(Table1[[#This Row],[AMT Taxes]]&gt;Table1[[#This Row],[Regular Taxes Owed]],Table1[[#This Row],[AMT Taxes]]&gt;0),Table1[[#This Row],[AMT Taxes]]-Table1[[#This Row],[Regular Taxes Owed]],0)</f>
        <v>0</v>
      </c>
      <c r="X255" s="9">
        <f>Table1[[#This Row],[Extra Taxes From Amt]]+Table1[[#This Row],[Federal Taxes Owed (No AMT)]]</f>
        <v>4280</v>
      </c>
      <c r="Y255" s="9">
        <f>IF(Table1[[#This Row],[taxable wages]]&gt;obamacare_surcharge_amount,obamacare_surcharge_percent*(Table1[[#This Row],[taxable wages]]-obamacare_surcharge_amount),0)</f>
        <v>0</v>
      </c>
      <c r="Z255" s="9">
        <f>Table1[[#This Row],[Federal Taxes Owed (Includes AMT)]]+Table1[[#This Row],[Obamacare surcharge premium]]</f>
        <v>4280</v>
      </c>
      <c r="AA255" s="9">
        <f>Table1[[#This Row],[taxable wages]]-Table1[[#This Row],[Federal Taxes Owed2]]</f>
        <v>104720</v>
      </c>
      <c r="AB255" s="51">
        <f t="shared" si="26"/>
        <v>0.15</v>
      </c>
      <c r="AC255" s="41"/>
      <c r="AD255" s="13"/>
      <c r="AE255" s="13"/>
    </row>
    <row r="256" spans="2:31" x14ac:dyDescent="0.3">
      <c r="B256" s="41">
        <f t="shared" si="27"/>
        <v>109500</v>
      </c>
      <c r="C256" s="1">
        <f>Table1[[#This Row],[taxable wages]]</f>
        <v>109500</v>
      </c>
      <c r="D256" s="1">
        <f>Table1[[#This Row],[taxable wages]]+interest+dividends+short_term_capital_gains+long_term_capital_gains</f>
        <v>109500</v>
      </c>
      <c r="E256" s="1">
        <f>MAX(Table1[[#This Row],[earned income for EITC]:[Agi For Eitc Calc]])</f>
        <v>109500</v>
      </c>
      <c r="F256" s="1">
        <f>Table1[[#This Row],[taxable wages]]+interest+dividends+short_term_capital_gains+long_term_capital_gains-(trad_ira_contributions+MIN(student_loan_interest_cap,student_loan_interest))</f>
        <v>109500</v>
      </c>
      <c r="G256" s="1">
        <f t="shared" si="23"/>
        <v>12600</v>
      </c>
      <c r="H256" s="1">
        <f t="shared" si="24"/>
        <v>28350</v>
      </c>
      <c r="I256" s="1">
        <f>MAX(0,Table1[[#This Row],[Agi]]-Table1[[#This Row],[Exemptions]]-Table1[[#This Row],[Effective Deductions]])</f>
        <v>68550</v>
      </c>
      <c r="J2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9355</v>
      </c>
      <c r="K256" s="1">
        <f t="shared" si="25"/>
        <v>5000</v>
      </c>
      <c r="L256" s="1">
        <f>IF(Table1[[#This Row],[Agi]]&gt;ctc_phase_out_begins,ctc_phase_out_rate*(Table1[[#This Row],[Agi]]-ctc_phase_out_begins),0)</f>
        <v>0</v>
      </c>
      <c r="M256" s="1">
        <f>MAX(Table1[[#This Row],[Child Tax Credit]]-Table1[[#This Row],[Child Tax Credit Phase Out]],0)</f>
        <v>5000</v>
      </c>
      <c r="N256" s="1">
        <f>MAX(Table1[[#This Row],[Regular Taxes Owed]]-Table1[[#This Row],[Effective Child Tax Credit]],0)</f>
        <v>4355</v>
      </c>
      <c r="O256" s="1">
        <f>MAX(MIN((Table1[[#This Row],[taxable wages]]-3000)*0.15,1000*num_kids_16_younger),0)</f>
        <v>5000</v>
      </c>
      <c r="P256" s="9">
        <f>IF(Table1[[#This Row],[Effective Child Tax Credit]]&gt;Table1[[#This Row],[Regular Taxes Owed]],Table1[[#This Row],[Additional Child Tax Credit ]]-Table1[[#This Row],[Regular Taxes Owed]],0)</f>
        <v>0</v>
      </c>
      <c r="Q2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6" s="1">
        <f>Table1[[#This Row],[Effective Additional Child Tax Credit]]+Table1[[#This Row],[Eitc]]</f>
        <v>0</v>
      </c>
      <c r="S256" s="9">
        <f>Table1[[#This Row],[Regular Taxes Owed - Effective Child Tax Credit]]-Table1[[#This Row],[Total Credits]]</f>
        <v>4355</v>
      </c>
      <c r="T256" s="9">
        <f>Table1[[#This Row],[taxable wages]]+interest+dividends+short_term_capital_gains+long_term_capital_gains-(charitable_donations+mortgage_interest)</f>
        <v>109500</v>
      </c>
      <c r="U256" s="9">
        <f>MAX(amt_exemption-amt_exemption_phase_out_rate*MAX(Table1[[#This Row],[taxable wages]]-amt_phase_out_begins,0),0)</f>
        <v>83800</v>
      </c>
      <c r="V2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6682</v>
      </c>
      <c r="W256" s="1">
        <f>IF(AND(Table1[[#This Row],[AMT Taxes]]&gt;Table1[[#This Row],[Regular Taxes Owed]],Table1[[#This Row],[AMT Taxes]]&gt;0),Table1[[#This Row],[AMT Taxes]]-Table1[[#This Row],[Regular Taxes Owed]],0)</f>
        <v>0</v>
      </c>
      <c r="X256" s="9">
        <f>Table1[[#This Row],[Extra Taxes From Amt]]+Table1[[#This Row],[Federal Taxes Owed (No AMT)]]</f>
        <v>4355</v>
      </c>
      <c r="Y256" s="9">
        <f>IF(Table1[[#This Row],[taxable wages]]&gt;obamacare_surcharge_amount,obamacare_surcharge_percent*(Table1[[#This Row],[taxable wages]]-obamacare_surcharge_amount),0)</f>
        <v>0</v>
      </c>
      <c r="Z256" s="9">
        <f>Table1[[#This Row],[Federal Taxes Owed (Includes AMT)]]+Table1[[#This Row],[Obamacare surcharge premium]]</f>
        <v>4355</v>
      </c>
      <c r="AA256" s="9">
        <f>Table1[[#This Row],[taxable wages]]-Table1[[#This Row],[Federal Taxes Owed2]]</f>
        <v>105145</v>
      </c>
      <c r="AB256" s="51">
        <f t="shared" si="26"/>
        <v>0.15</v>
      </c>
      <c r="AC256" s="41"/>
      <c r="AD256" s="13"/>
      <c r="AE256" s="13"/>
    </row>
    <row r="257" spans="2:31" x14ac:dyDescent="0.3">
      <c r="B257" s="41">
        <f t="shared" si="27"/>
        <v>110000</v>
      </c>
      <c r="C257" s="1">
        <f>Table1[[#This Row],[taxable wages]]</f>
        <v>110000</v>
      </c>
      <c r="D257" s="1">
        <f>Table1[[#This Row],[taxable wages]]+interest+dividends+short_term_capital_gains+long_term_capital_gains</f>
        <v>110000</v>
      </c>
      <c r="E257" s="1">
        <f>MAX(Table1[[#This Row],[earned income for EITC]:[Agi For Eitc Calc]])</f>
        <v>110000</v>
      </c>
      <c r="F257" s="1">
        <f>Table1[[#This Row],[taxable wages]]+interest+dividends+short_term_capital_gains+long_term_capital_gains-(trad_ira_contributions+MIN(student_loan_interest_cap,student_loan_interest))</f>
        <v>110000</v>
      </c>
      <c r="G257" s="1">
        <f t="shared" si="23"/>
        <v>12600</v>
      </c>
      <c r="H257" s="1">
        <f t="shared" si="24"/>
        <v>28350</v>
      </c>
      <c r="I257" s="1">
        <f>MAX(0,Table1[[#This Row],[Agi]]-Table1[[#This Row],[Exemptions]]-Table1[[#This Row],[Effective Deductions]])</f>
        <v>69050</v>
      </c>
      <c r="J2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9430</v>
      </c>
      <c r="K257" s="1">
        <f t="shared" si="25"/>
        <v>5000</v>
      </c>
      <c r="L257" s="1">
        <f>IF(Table1[[#This Row],[Agi]]&gt;ctc_phase_out_begins,ctc_phase_out_rate*(Table1[[#This Row],[Agi]]-ctc_phase_out_begins),0)</f>
        <v>0</v>
      </c>
      <c r="M257" s="1">
        <f>MAX(Table1[[#This Row],[Child Tax Credit]]-Table1[[#This Row],[Child Tax Credit Phase Out]],0)</f>
        <v>5000</v>
      </c>
      <c r="N257" s="1">
        <f>MAX(Table1[[#This Row],[Regular Taxes Owed]]-Table1[[#This Row],[Effective Child Tax Credit]],0)</f>
        <v>4430</v>
      </c>
      <c r="O257" s="1">
        <f>MAX(MIN((Table1[[#This Row],[taxable wages]]-3000)*0.15,1000*num_kids_16_younger),0)</f>
        <v>5000</v>
      </c>
      <c r="P257" s="9">
        <f>IF(Table1[[#This Row],[Effective Child Tax Credit]]&gt;Table1[[#This Row],[Regular Taxes Owed]],Table1[[#This Row],[Additional Child Tax Credit ]]-Table1[[#This Row],[Regular Taxes Owed]],0)</f>
        <v>0</v>
      </c>
      <c r="Q2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7" s="1">
        <f>Table1[[#This Row],[Effective Additional Child Tax Credit]]+Table1[[#This Row],[Eitc]]</f>
        <v>0</v>
      </c>
      <c r="S257" s="9">
        <f>Table1[[#This Row],[Regular Taxes Owed - Effective Child Tax Credit]]-Table1[[#This Row],[Total Credits]]</f>
        <v>4430</v>
      </c>
      <c r="T257" s="9">
        <f>Table1[[#This Row],[taxable wages]]+interest+dividends+short_term_capital_gains+long_term_capital_gains-(charitable_donations+mortgage_interest)</f>
        <v>110000</v>
      </c>
      <c r="U257" s="9">
        <f>MAX(amt_exemption-amt_exemption_phase_out_rate*MAX(Table1[[#This Row],[taxable wages]]-amt_phase_out_begins,0),0)</f>
        <v>83800</v>
      </c>
      <c r="V2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6812</v>
      </c>
      <c r="W257" s="1">
        <f>IF(AND(Table1[[#This Row],[AMT Taxes]]&gt;Table1[[#This Row],[Regular Taxes Owed]],Table1[[#This Row],[AMT Taxes]]&gt;0),Table1[[#This Row],[AMT Taxes]]-Table1[[#This Row],[Regular Taxes Owed]],0)</f>
        <v>0</v>
      </c>
      <c r="X257" s="9">
        <f>Table1[[#This Row],[Extra Taxes From Amt]]+Table1[[#This Row],[Federal Taxes Owed (No AMT)]]</f>
        <v>4430</v>
      </c>
      <c r="Y257" s="9">
        <f>IF(Table1[[#This Row],[taxable wages]]&gt;obamacare_surcharge_amount,obamacare_surcharge_percent*(Table1[[#This Row],[taxable wages]]-obamacare_surcharge_amount),0)</f>
        <v>0</v>
      </c>
      <c r="Z257" s="9">
        <f>Table1[[#This Row],[Federal Taxes Owed (Includes AMT)]]+Table1[[#This Row],[Obamacare surcharge premium]]</f>
        <v>4430</v>
      </c>
      <c r="AA257" s="9">
        <f>Table1[[#This Row],[taxable wages]]-Table1[[#This Row],[Federal Taxes Owed2]]</f>
        <v>105570</v>
      </c>
      <c r="AB257" s="51">
        <f t="shared" si="26"/>
        <v>0.15</v>
      </c>
      <c r="AC257" s="41"/>
      <c r="AD257" s="13"/>
      <c r="AE257" s="13"/>
    </row>
    <row r="258" spans="2:31" x14ac:dyDescent="0.3">
      <c r="B258" s="41">
        <f t="shared" si="27"/>
        <v>110500</v>
      </c>
      <c r="C258" s="1">
        <f>Table1[[#This Row],[taxable wages]]</f>
        <v>110500</v>
      </c>
      <c r="D258" s="1">
        <f>Table1[[#This Row],[taxable wages]]+interest+dividends+short_term_capital_gains+long_term_capital_gains</f>
        <v>110500</v>
      </c>
      <c r="E258" s="1">
        <f>MAX(Table1[[#This Row],[earned income for EITC]:[Agi For Eitc Calc]])</f>
        <v>110500</v>
      </c>
      <c r="F258" s="1">
        <f>Table1[[#This Row],[taxable wages]]+interest+dividends+short_term_capital_gains+long_term_capital_gains-(trad_ira_contributions+MIN(student_loan_interest_cap,student_loan_interest))</f>
        <v>110500</v>
      </c>
      <c r="G258" s="1">
        <f t="shared" si="23"/>
        <v>12600</v>
      </c>
      <c r="H258" s="1">
        <f t="shared" si="24"/>
        <v>28350</v>
      </c>
      <c r="I258" s="1">
        <f>MAX(0,Table1[[#This Row],[Agi]]-Table1[[#This Row],[Exemptions]]-Table1[[#This Row],[Effective Deductions]])</f>
        <v>69550</v>
      </c>
      <c r="J2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9505</v>
      </c>
      <c r="K258" s="1">
        <f t="shared" si="25"/>
        <v>5000</v>
      </c>
      <c r="L258" s="1">
        <f>IF(Table1[[#This Row],[Agi]]&gt;ctc_phase_out_begins,ctc_phase_out_rate*(Table1[[#This Row],[Agi]]-ctc_phase_out_begins),0)</f>
        <v>25</v>
      </c>
      <c r="M258" s="1">
        <f>MAX(Table1[[#This Row],[Child Tax Credit]]-Table1[[#This Row],[Child Tax Credit Phase Out]],0)</f>
        <v>4975</v>
      </c>
      <c r="N258" s="1">
        <f>MAX(Table1[[#This Row],[Regular Taxes Owed]]-Table1[[#This Row],[Effective Child Tax Credit]],0)</f>
        <v>4530</v>
      </c>
      <c r="O258" s="1">
        <f>MAX(MIN((Table1[[#This Row],[taxable wages]]-3000)*0.15,1000*num_kids_16_younger),0)</f>
        <v>5000</v>
      </c>
      <c r="P258" s="9">
        <f>IF(Table1[[#This Row],[Effective Child Tax Credit]]&gt;Table1[[#This Row],[Regular Taxes Owed]],Table1[[#This Row],[Additional Child Tax Credit ]]-Table1[[#This Row],[Regular Taxes Owed]],0)</f>
        <v>0</v>
      </c>
      <c r="Q2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8" s="1">
        <f>Table1[[#This Row],[Effective Additional Child Tax Credit]]+Table1[[#This Row],[Eitc]]</f>
        <v>0</v>
      </c>
      <c r="S258" s="9">
        <f>Table1[[#This Row],[Regular Taxes Owed - Effective Child Tax Credit]]-Table1[[#This Row],[Total Credits]]</f>
        <v>4530</v>
      </c>
      <c r="T258" s="9">
        <f>Table1[[#This Row],[taxable wages]]+interest+dividends+short_term_capital_gains+long_term_capital_gains-(charitable_donations+mortgage_interest)</f>
        <v>110500</v>
      </c>
      <c r="U258" s="9">
        <f>MAX(amt_exemption-amt_exemption_phase_out_rate*MAX(Table1[[#This Row],[taxable wages]]-amt_phase_out_begins,0),0)</f>
        <v>83800</v>
      </c>
      <c r="V2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6942</v>
      </c>
      <c r="W258" s="1">
        <f>IF(AND(Table1[[#This Row],[AMT Taxes]]&gt;Table1[[#This Row],[Regular Taxes Owed]],Table1[[#This Row],[AMT Taxes]]&gt;0),Table1[[#This Row],[AMT Taxes]]-Table1[[#This Row],[Regular Taxes Owed]],0)</f>
        <v>0</v>
      </c>
      <c r="X258" s="9">
        <f>Table1[[#This Row],[Extra Taxes From Amt]]+Table1[[#This Row],[Federal Taxes Owed (No AMT)]]</f>
        <v>4530</v>
      </c>
      <c r="Y258" s="9">
        <f>IF(Table1[[#This Row],[taxable wages]]&gt;obamacare_surcharge_amount,obamacare_surcharge_percent*(Table1[[#This Row],[taxable wages]]-obamacare_surcharge_amount),0)</f>
        <v>0</v>
      </c>
      <c r="Z258" s="9">
        <f>Table1[[#This Row],[Federal Taxes Owed (Includes AMT)]]+Table1[[#This Row],[Obamacare surcharge premium]]</f>
        <v>4530</v>
      </c>
      <c r="AA258" s="9">
        <f>Table1[[#This Row],[taxable wages]]-Table1[[#This Row],[Federal Taxes Owed2]]</f>
        <v>105970</v>
      </c>
      <c r="AB258" s="51">
        <f t="shared" si="26"/>
        <v>0.2</v>
      </c>
      <c r="AC258" s="41"/>
      <c r="AD258" s="13"/>
      <c r="AE258" s="13"/>
    </row>
    <row r="259" spans="2:31" x14ac:dyDescent="0.3">
      <c r="B259" s="41">
        <f t="shared" si="27"/>
        <v>111000</v>
      </c>
      <c r="C259" s="1">
        <f>Table1[[#This Row],[taxable wages]]</f>
        <v>111000</v>
      </c>
      <c r="D259" s="1">
        <f>Table1[[#This Row],[taxable wages]]+interest+dividends+short_term_capital_gains+long_term_capital_gains</f>
        <v>111000</v>
      </c>
      <c r="E259" s="1">
        <f>MAX(Table1[[#This Row],[earned income for EITC]:[Agi For Eitc Calc]])</f>
        <v>111000</v>
      </c>
      <c r="F259" s="1">
        <f>Table1[[#This Row],[taxable wages]]+interest+dividends+short_term_capital_gains+long_term_capital_gains-(trad_ira_contributions+MIN(student_loan_interest_cap,student_loan_interest))</f>
        <v>111000</v>
      </c>
      <c r="G259" s="1">
        <f t="shared" si="23"/>
        <v>12600</v>
      </c>
      <c r="H259" s="1">
        <f t="shared" si="24"/>
        <v>28350</v>
      </c>
      <c r="I259" s="1">
        <f>MAX(0,Table1[[#This Row],[Agi]]-Table1[[#This Row],[Exemptions]]-Table1[[#This Row],[Effective Deductions]])</f>
        <v>70050</v>
      </c>
      <c r="J2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9580</v>
      </c>
      <c r="K259" s="1">
        <f t="shared" si="25"/>
        <v>5000</v>
      </c>
      <c r="L259" s="1">
        <f>IF(Table1[[#This Row],[Agi]]&gt;ctc_phase_out_begins,ctc_phase_out_rate*(Table1[[#This Row],[Agi]]-ctc_phase_out_begins),0)</f>
        <v>50</v>
      </c>
      <c r="M259" s="1">
        <f>MAX(Table1[[#This Row],[Child Tax Credit]]-Table1[[#This Row],[Child Tax Credit Phase Out]],0)</f>
        <v>4950</v>
      </c>
      <c r="N259" s="1">
        <f>MAX(Table1[[#This Row],[Regular Taxes Owed]]-Table1[[#This Row],[Effective Child Tax Credit]],0)</f>
        <v>4630</v>
      </c>
      <c r="O259" s="1">
        <f>MAX(MIN((Table1[[#This Row],[taxable wages]]-3000)*0.15,1000*num_kids_16_younger),0)</f>
        <v>5000</v>
      </c>
      <c r="P259" s="9">
        <f>IF(Table1[[#This Row],[Effective Child Tax Credit]]&gt;Table1[[#This Row],[Regular Taxes Owed]],Table1[[#This Row],[Additional Child Tax Credit ]]-Table1[[#This Row],[Regular Taxes Owed]],0)</f>
        <v>0</v>
      </c>
      <c r="Q2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59" s="1">
        <f>Table1[[#This Row],[Effective Additional Child Tax Credit]]+Table1[[#This Row],[Eitc]]</f>
        <v>0</v>
      </c>
      <c r="S259" s="9">
        <f>Table1[[#This Row],[Regular Taxes Owed - Effective Child Tax Credit]]-Table1[[#This Row],[Total Credits]]</f>
        <v>4630</v>
      </c>
      <c r="T259" s="9">
        <f>Table1[[#This Row],[taxable wages]]+interest+dividends+short_term_capital_gains+long_term_capital_gains-(charitable_donations+mortgage_interest)</f>
        <v>111000</v>
      </c>
      <c r="U259" s="9">
        <f>MAX(amt_exemption-amt_exemption_phase_out_rate*MAX(Table1[[#This Row],[taxable wages]]-amt_phase_out_begins,0),0)</f>
        <v>83800</v>
      </c>
      <c r="V2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7072</v>
      </c>
      <c r="W259" s="1">
        <f>IF(AND(Table1[[#This Row],[AMT Taxes]]&gt;Table1[[#This Row],[Regular Taxes Owed]],Table1[[#This Row],[AMT Taxes]]&gt;0),Table1[[#This Row],[AMT Taxes]]-Table1[[#This Row],[Regular Taxes Owed]],0)</f>
        <v>0</v>
      </c>
      <c r="X259" s="9">
        <f>Table1[[#This Row],[Extra Taxes From Amt]]+Table1[[#This Row],[Federal Taxes Owed (No AMT)]]</f>
        <v>4630</v>
      </c>
      <c r="Y259" s="9">
        <f>IF(Table1[[#This Row],[taxable wages]]&gt;obamacare_surcharge_amount,obamacare_surcharge_percent*(Table1[[#This Row],[taxable wages]]-obamacare_surcharge_amount),0)</f>
        <v>0</v>
      </c>
      <c r="Z259" s="9">
        <f>Table1[[#This Row],[Federal Taxes Owed (Includes AMT)]]+Table1[[#This Row],[Obamacare surcharge premium]]</f>
        <v>4630</v>
      </c>
      <c r="AA259" s="9">
        <f>Table1[[#This Row],[taxable wages]]-Table1[[#This Row],[Federal Taxes Owed2]]</f>
        <v>106370</v>
      </c>
      <c r="AB259" s="51">
        <f t="shared" si="26"/>
        <v>0.2</v>
      </c>
      <c r="AC259" s="41"/>
      <c r="AD259" s="13"/>
      <c r="AE259" s="13"/>
    </row>
    <row r="260" spans="2:31" x14ac:dyDescent="0.3">
      <c r="B260" s="41">
        <f t="shared" si="27"/>
        <v>111500</v>
      </c>
      <c r="C260" s="1">
        <f>Table1[[#This Row],[taxable wages]]</f>
        <v>111500</v>
      </c>
      <c r="D260" s="1">
        <f>Table1[[#This Row],[taxable wages]]+interest+dividends+short_term_capital_gains+long_term_capital_gains</f>
        <v>111500</v>
      </c>
      <c r="E260" s="1">
        <f>MAX(Table1[[#This Row],[earned income for EITC]:[Agi For Eitc Calc]])</f>
        <v>111500</v>
      </c>
      <c r="F260" s="1">
        <f>Table1[[#This Row],[taxable wages]]+interest+dividends+short_term_capital_gains+long_term_capital_gains-(trad_ira_contributions+MIN(student_loan_interest_cap,student_loan_interest))</f>
        <v>111500</v>
      </c>
      <c r="G260" s="1">
        <f t="shared" si="23"/>
        <v>12600</v>
      </c>
      <c r="H260" s="1">
        <f t="shared" si="24"/>
        <v>28350</v>
      </c>
      <c r="I260" s="1">
        <f>MAX(0,Table1[[#This Row],[Agi]]-Table1[[#This Row],[Exemptions]]-Table1[[#This Row],[Effective Deductions]])</f>
        <v>70550</v>
      </c>
      <c r="J2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9655</v>
      </c>
      <c r="K260" s="1">
        <f t="shared" si="25"/>
        <v>5000</v>
      </c>
      <c r="L260" s="1">
        <f>IF(Table1[[#This Row],[Agi]]&gt;ctc_phase_out_begins,ctc_phase_out_rate*(Table1[[#This Row],[Agi]]-ctc_phase_out_begins),0)</f>
        <v>75</v>
      </c>
      <c r="M260" s="1">
        <f>MAX(Table1[[#This Row],[Child Tax Credit]]-Table1[[#This Row],[Child Tax Credit Phase Out]],0)</f>
        <v>4925</v>
      </c>
      <c r="N260" s="1">
        <f>MAX(Table1[[#This Row],[Regular Taxes Owed]]-Table1[[#This Row],[Effective Child Tax Credit]],0)</f>
        <v>4730</v>
      </c>
      <c r="O260" s="1">
        <f>MAX(MIN((Table1[[#This Row],[taxable wages]]-3000)*0.15,1000*num_kids_16_younger),0)</f>
        <v>5000</v>
      </c>
      <c r="P260" s="9">
        <f>IF(Table1[[#This Row],[Effective Child Tax Credit]]&gt;Table1[[#This Row],[Regular Taxes Owed]],Table1[[#This Row],[Additional Child Tax Credit ]]-Table1[[#This Row],[Regular Taxes Owed]],0)</f>
        <v>0</v>
      </c>
      <c r="Q2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0" s="1">
        <f>Table1[[#This Row],[Effective Additional Child Tax Credit]]+Table1[[#This Row],[Eitc]]</f>
        <v>0</v>
      </c>
      <c r="S260" s="9">
        <f>Table1[[#This Row],[Regular Taxes Owed - Effective Child Tax Credit]]-Table1[[#This Row],[Total Credits]]</f>
        <v>4730</v>
      </c>
      <c r="T260" s="9">
        <f>Table1[[#This Row],[taxable wages]]+interest+dividends+short_term_capital_gains+long_term_capital_gains-(charitable_donations+mortgage_interest)</f>
        <v>111500</v>
      </c>
      <c r="U260" s="9">
        <f>MAX(amt_exemption-amt_exemption_phase_out_rate*MAX(Table1[[#This Row],[taxable wages]]-amt_phase_out_begins,0),0)</f>
        <v>83800</v>
      </c>
      <c r="V2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7202</v>
      </c>
      <c r="W260" s="1">
        <f>IF(AND(Table1[[#This Row],[AMT Taxes]]&gt;Table1[[#This Row],[Regular Taxes Owed]],Table1[[#This Row],[AMT Taxes]]&gt;0),Table1[[#This Row],[AMT Taxes]]-Table1[[#This Row],[Regular Taxes Owed]],0)</f>
        <v>0</v>
      </c>
      <c r="X260" s="9">
        <f>Table1[[#This Row],[Extra Taxes From Amt]]+Table1[[#This Row],[Federal Taxes Owed (No AMT)]]</f>
        <v>4730</v>
      </c>
      <c r="Y260" s="9">
        <f>IF(Table1[[#This Row],[taxable wages]]&gt;obamacare_surcharge_amount,obamacare_surcharge_percent*(Table1[[#This Row],[taxable wages]]-obamacare_surcharge_amount),0)</f>
        <v>0</v>
      </c>
      <c r="Z260" s="9">
        <f>Table1[[#This Row],[Federal Taxes Owed (Includes AMT)]]+Table1[[#This Row],[Obamacare surcharge premium]]</f>
        <v>4730</v>
      </c>
      <c r="AA260" s="9">
        <f>Table1[[#This Row],[taxable wages]]-Table1[[#This Row],[Federal Taxes Owed2]]</f>
        <v>106770</v>
      </c>
      <c r="AB260" s="51">
        <f t="shared" si="26"/>
        <v>0.2</v>
      </c>
      <c r="AC260" s="41"/>
      <c r="AD260" s="13"/>
      <c r="AE260" s="13"/>
    </row>
    <row r="261" spans="2:31" x14ac:dyDescent="0.3">
      <c r="B261" s="41">
        <f t="shared" si="27"/>
        <v>112000</v>
      </c>
      <c r="C261" s="1">
        <f>Table1[[#This Row],[taxable wages]]</f>
        <v>112000</v>
      </c>
      <c r="D261" s="1">
        <f>Table1[[#This Row],[taxable wages]]+interest+dividends+short_term_capital_gains+long_term_capital_gains</f>
        <v>112000</v>
      </c>
      <c r="E261" s="1">
        <f>MAX(Table1[[#This Row],[earned income for EITC]:[Agi For Eitc Calc]])</f>
        <v>112000</v>
      </c>
      <c r="F261" s="1">
        <f>Table1[[#This Row],[taxable wages]]+interest+dividends+short_term_capital_gains+long_term_capital_gains-(trad_ira_contributions+MIN(student_loan_interest_cap,student_loan_interest))</f>
        <v>112000</v>
      </c>
      <c r="G261" s="1">
        <f t="shared" si="23"/>
        <v>12600</v>
      </c>
      <c r="H261" s="1">
        <f t="shared" si="24"/>
        <v>28350</v>
      </c>
      <c r="I261" s="1">
        <f>MAX(0,Table1[[#This Row],[Agi]]-Table1[[#This Row],[Exemptions]]-Table1[[#This Row],[Effective Deductions]])</f>
        <v>71050</v>
      </c>
      <c r="J2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9730</v>
      </c>
      <c r="K261" s="1">
        <f t="shared" si="25"/>
        <v>5000</v>
      </c>
      <c r="L261" s="1">
        <f>IF(Table1[[#This Row],[Agi]]&gt;ctc_phase_out_begins,ctc_phase_out_rate*(Table1[[#This Row],[Agi]]-ctc_phase_out_begins),0)</f>
        <v>100</v>
      </c>
      <c r="M261" s="1">
        <f>MAX(Table1[[#This Row],[Child Tax Credit]]-Table1[[#This Row],[Child Tax Credit Phase Out]],0)</f>
        <v>4900</v>
      </c>
      <c r="N261" s="1">
        <f>MAX(Table1[[#This Row],[Regular Taxes Owed]]-Table1[[#This Row],[Effective Child Tax Credit]],0)</f>
        <v>4830</v>
      </c>
      <c r="O261" s="1">
        <f>MAX(MIN((Table1[[#This Row],[taxable wages]]-3000)*0.15,1000*num_kids_16_younger),0)</f>
        <v>5000</v>
      </c>
      <c r="P261" s="9">
        <f>IF(Table1[[#This Row],[Effective Child Tax Credit]]&gt;Table1[[#This Row],[Regular Taxes Owed]],Table1[[#This Row],[Additional Child Tax Credit ]]-Table1[[#This Row],[Regular Taxes Owed]],0)</f>
        <v>0</v>
      </c>
      <c r="Q2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1" s="1">
        <f>Table1[[#This Row],[Effective Additional Child Tax Credit]]+Table1[[#This Row],[Eitc]]</f>
        <v>0</v>
      </c>
      <c r="S261" s="9">
        <f>Table1[[#This Row],[Regular Taxes Owed - Effective Child Tax Credit]]-Table1[[#This Row],[Total Credits]]</f>
        <v>4830</v>
      </c>
      <c r="T261" s="9">
        <f>Table1[[#This Row],[taxable wages]]+interest+dividends+short_term_capital_gains+long_term_capital_gains-(charitable_donations+mortgage_interest)</f>
        <v>112000</v>
      </c>
      <c r="U261" s="9">
        <f>MAX(amt_exemption-amt_exemption_phase_out_rate*MAX(Table1[[#This Row],[taxable wages]]-amt_phase_out_begins,0),0)</f>
        <v>83800</v>
      </c>
      <c r="V2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7332</v>
      </c>
      <c r="W261" s="1">
        <f>IF(AND(Table1[[#This Row],[AMT Taxes]]&gt;Table1[[#This Row],[Regular Taxes Owed]],Table1[[#This Row],[AMT Taxes]]&gt;0),Table1[[#This Row],[AMT Taxes]]-Table1[[#This Row],[Regular Taxes Owed]],0)</f>
        <v>0</v>
      </c>
      <c r="X261" s="9">
        <f>Table1[[#This Row],[Extra Taxes From Amt]]+Table1[[#This Row],[Federal Taxes Owed (No AMT)]]</f>
        <v>4830</v>
      </c>
      <c r="Y261" s="9">
        <f>IF(Table1[[#This Row],[taxable wages]]&gt;obamacare_surcharge_amount,obamacare_surcharge_percent*(Table1[[#This Row],[taxable wages]]-obamacare_surcharge_amount),0)</f>
        <v>0</v>
      </c>
      <c r="Z261" s="9">
        <f>Table1[[#This Row],[Federal Taxes Owed (Includes AMT)]]+Table1[[#This Row],[Obamacare surcharge premium]]</f>
        <v>4830</v>
      </c>
      <c r="AA261" s="9">
        <f>Table1[[#This Row],[taxable wages]]-Table1[[#This Row],[Federal Taxes Owed2]]</f>
        <v>107170</v>
      </c>
      <c r="AB261" s="51">
        <f t="shared" si="26"/>
        <v>0.2</v>
      </c>
      <c r="AC261" s="41"/>
      <c r="AD261" s="13"/>
      <c r="AE261" s="13"/>
    </row>
    <row r="262" spans="2:31" x14ac:dyDescent="0.3">
      <c r="B262" s="41">
        <f t="shared" si="27"/>
        <v>112500</v>
      </c>
      <c r="C262" s="1">
        <f>Table1[[#This Row],[taxable wages]]</f>
        <v>112500</v>
      </c>
      <c r="D262" s="1">
        <f>Table1[[#This Row],[taxable wages]]+interest+dividends+short_term_capital_gains+long_term_capital_gains</f>
        <v>112500</v>
      </c>
      <c r="E262" s="1">
        <f>MAX(Table1[[#This Row],[earned income for EITC]:[Agi For Eitc Calc]])</f>
        <v>112500</v>
      </c>
      <c r="F262" s="1">
        <f>Table1[[#This Row],[taxable wages]]+interest+dividends+short_term_capital_gains+long_term_capital_gains-(trad_ira_contributions+MIN(student_loan_interest_cap,student_loan_interest))</f>
        <v>112500</v>
      </c>
      <c r="G262" s="1">
        <f t="shared" si="23"/>
        <v>12600</v>
      </c>
      <c r="H262" s="1">
        <f t="shared" si="24"/>
        <v>28350</v>
      </c>
      <c r="I262" s="1">
        <f>MAX(0,Table1[[#This Row],[Agi]]-Table1[[#This Row],[Exemptions]]-Table1[[#This Row],[Effective Deductions]])</f>
        <v>71550</v>
      </c>
      <c r="J2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9805</v>
      </c>
      <c r="K262" s="1">
        <f t="shared" si="25"/>
        <v>5000</v>
      </c>
      <c r="L262" s="1">
        <f>IF(Table1[[#This Row],[Agi]]&gt;ctc_phase_out_begins,ctc_phase_out_rate*(Table1[[#This Row],[Agi]]-ctc_phase_out_begins),0)</f>
        <v>125</v>
      </c>
      <c r="M262" s="1">
        <f>MAX(Table1[[#This Row],[Child Tax Credit]]-Table1[[#This Row],[Child Tax Credit Phase Out]],0)</f>
        <v>4875</v>
      </c>
      <c r="N262" s="1">
        <f>MAX(Table1[[#This Row],[Regular Taxes Owed]]-Table1[[#This Row],[Effective Child Tax Credit]],0)</f>
        <v>4930</v>
      </c>
      <c r="O262" s="1">
        <f>MAX(MIN((Table1[[#This Row],[taxable wages]]-3000)*0.15,1000*num_kids_16_younger),0)</f>
        <v>5000</v>
      </c>
      <c r="P262" s="9">
        <f>IF(Table1[[#This Row],[Effective Child Tax Credit]]&gt;Table1[[#This Row],[Regular Taxes Owed]],Table1[[#This Row],[Additional Child Tax Credit ]]-Table1[[#This Row],[Regular Taxes Owed]],0)</f>
        <v>0</v>
      </c>
      <c r="Q2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2" s="1">
        <f>Table1[[#This Row],[Effective Additional Child Tax Credit]]+Table1[[#This Row],[Eitc]]</f>
        <v>0</v>
      </c>
      <c r="S262" s="9">
        <f>Table1[[#This Row],[Regular Taxes Owed - Effective Child Tax Credit]]-Table1[[#This Row],[Total Credits]]</f>
        <v>4930</v>
      </c>
      <c r="T262" s="9">
        <f>Table1[[#This Row],[taxable wages]]+interest+dividends+short_term_capital_gains+long_term_capital_gains-(charitable_donations+mortgage_interest)</f>
        <v>112500</v>
      </c>
      <c r="U262" s="9">
        <f>MAX(amt_exemption-amt_exemption_phase_out_rate*MAX(Table1[[#This Row],[taxable wages]]-amt_phase_out_begins,0),0)</f>
        <v>83800</v>
      </c>
      <c r="V2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7462</v>
      </c>
      <c r="W262" s="1">
        <f>IF(AND(Table1[[#This Row],[AMT Taxes]]&gt;Table1[[#This Row],[Regular Taxes Owed]],Table1[[#This Row],[AMT Taxes]]&gt;0),Table1[[#This Row],[AMT Taxes]]-Table1[[#This Row],[Regular Taxes Owed]],0)</f>
        <v>0</v>
      </c>
      <c r="X262" s="9">
        <f>Table1[[#This Row],[Extra Taxes From Amt]]+Table1[[#This Row],[Federal Taxes Owed (No AMT)]]</f>
        <v>4930</v>
      </c>
      <c r="Y262" s="9">
        <f>IF(Table1[[#This Row],[taxable wages]]&gt;obamacare_surcharge_amount,obamacare_surcharge_percent*(Table1[[#This Row],[taxable wages]]-obamacare_surcharge_amount),0)</f>
        <v>0</v>
      </c>
      <c r="Z262" s="9">
        <f>Table1[[#This Row],[Federal Taxes Owed (Includes AMT)]]+Table1[[#This Row],[Obamacare surcharge premium]]</f>
        <v>4930</v>
      </c>
      <c r="AA262" s="9">
        <f>Table1[[#This Row],[taxable wages]]-Table1[[#This Row],[Federal Taxes Owed2]]</f>
        <v>107570</v>
      </c>
      <c r="AB262" s="51">
        <f t="shared" si="26"/>
        <v>0.2</v>
      </c>
      <c r="AC262" s="41"/>
      <c r="AD262" s="13"/>
      <c r="AE262" s="13"/>
    </row>
    <row r="263" spans="2:31" x14ac:dyDescent="0.3">
      <c r="B263" s="41">
        <f t="shared" si="27"/>
        <v>113000</v>
      </c>
      <c r="C263" s="1">
        <f>Table1[[#This Row],[taxable wages]]</f>
        <v>113000</v>
      </c>
      <c r="D263" s="1">
        <f>Table1[[#This Row],[taxable wages]]+interest+dividends+short_term_capital_gains+long_term_capital_gains</f>
        <v>113000</v>
      </c>
      <c r="E263" s="1">
        <f>MAX(Table1[[#This Row],[earned income for EITC]:[Agi For Eitc Calc]])</f>
        <v>113000</v>
      </c>
      <c r="F263" s="1">
        <f>Table1[[#This Row],[taxable wages]]+interest+dividends+short_term_capital_gains+long_term_capital_gains-(trad_ira_contributions+MIN(student_loan_interest_cap,student_loan_interest))</f>
        <v>113000</v>
      </c>
      <c r="G263" s="1">
        <f t="shared" si="23"/>
        <v>12600</v>
      </c>
      <c r="H263" s="1">
        <f t="shared" si="24"/>
        <v>28350</v>
      </c>
      <c r="I263" s="1">
        <f>MAX(0,Table1[[#This Row],[Agi]]-Table1[[#This Row],[Exemptions]]-Table1[[#This Row],[Effective Deductions]])</f>
        <v>72050</v>
      </c>
      <c r="J2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9880</v>
      </c>
      <c r="K263" s="1">
        <f t="shared" si="25"/>
        <v>5000</v>
      </c>
      <c r="L263" s="1">
        <f>IF(Table1[[#This Row],[Agi]]&gt;ctc_phase_out_begins,ctc_phase_out_rate*(Table1[[#This Row],[Agi]]-ctc_phase_out_begins),0)</f>
        <v>150</v>
      </c>
      <c r="M263" s="1">
        <f>MAX(Table1[[#This Row],[Child Tax Credit]]-Table1[[#This Row],[Child Tax Credit Phase Out]],0)</f>
        <v>4850</v>
      </c>
      <c r="N263" s="1">
        <f>MAX(Table1[[#This Row],[Regular Taxes Owed]]-Table1[[#This Row],[Effective Child Tax Credit]],0)</f>
        <v>5030</v>
      </c>
      <c r="O263" s="1">
        <f>MAX(MIN((Table1[[#This Row],[taxable wages]]-3000)*0.15,1000*num_kids_16_younger),0)</f>
        <v>5000</v>
      </c>
      <c r="P263" s="9">
        <f>IF(Table1[[#This Row],[Effective Child Tax Credit]]&gt;Table1[[#This Row],[Regular Taxes Owed]],Table1[[#This Row],[Additional Child Tax Credit ]]-Table1[[#This Row],[Regular Taxes Owed]],0)</f>
        <v>0</v>
      </c>
      <c r="Q2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3" s="1">
        <f>Table1[[#This Row],[Effective Additional Child Tax Credit]]+Table1[[#This Row],[Eitc]]</f>
        <v>0</v>
      </c>
      <c r="S263" s="9">
        <f>Table1[[#This Row],[Regular Taxes Owed - Effective Child Tax Credit]]-Table1[[#This Row],[Total Credits]]</f>
        <v>5030</v>
      </c>
      <c r="T263" s="9">
        <f>Table1[[#This Row],[taxable wages]]+interest+dividends+short_term_capital_gains+long_term_capital_gains-(charitable_donations+mortgage_interest)</f>
        <v>113000</v>
      </c>
      <c r="U263" s="9">
        <f>MAX(amt_exemption-amt_exemption_phase_out_rate*MAX(Table1[[#This Row],[taxable wages]]-amt_phase_out_begins,0),0)</f>
        <v>83800</v>
      </c>
      <c r="V2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7592</v>
      </c>
      <c r="W263" s="1">
        <f>IF(AND(Table1[[#This Row],[AMT Taxes]]&gt;Table1[[#This Row],[Regular Taxes Owed]],Table1[[#This Row],[AMT Taxes]]&gt;0),Table1[[#This Row],[AMT Taxes]]-Table1[[#This Row],[Regular Taxes Owed]],0)</f>
        <v>0</v>
      </c>
      <c r="X263" s="9">
        <f>Table1[[#This Row],[Extra Taxes From Amt]]+Table1[[#This Row],[Federal Taxes Owed (No AMT)]]</f>
        <v>5030</v>
      </c>
      <c r="Y263" s="9">
        <f>IF(Table1[[#This Row],[taxable wages]]&gt;obamacare_surcharge_amount,obamacare_surcharge_percent*(Table1[[#This Row],[taxable wages]]-obamacare_surcharge_amount),0)</f>
        <v>0</v>
      </c>
      <c r="Z263" s="9">
        <f>Table1[[#This Row],[Federal Taxes Owed (Includes AMT)]]+Table1[[#This Row],[Obamacare surcharge premium]]</f>
        <v>5030</v>
      </c>
      <c r="AA263" s="9">
        <f>Table1[[#This Row],[taxable wages]]-Table1[[#This Row],[Federal Taxes Owed2]]</f>
        <v>107970</v>
      </c>
      <c r="AB263" s="51">
        <f t="shared" si="26"/>
        <v>0.2</v>
      </c>
      <c r="AC263" s="41"/>
      <c r="AD263" s="13"/>
      <c r="AE263" s="13"/>
    </row>
    <row r="264" spans="2:31" x14ac:dyDescent="0.3">
      <c r="B264" s="41">
        <f t="shared" si="27"/>
        <v>113500</v>
      </c>
      <c r="C264" s="1">
        <f>Table1[[#This Row],[taxable wages]]</f>
        <v>113500</v>
      </c>
      <c r="D264" s="1">
        <f>Table1[[#This Row],[taxable wages]]+interest+dividends+short_term_capital_gains+long_term_capital_gains</f>
        <v>113500</v>
      </c>
      <c r="E264" s="1">
        <f>MAX(Table1[[#This Row],[earned income for EITC]:[Agi For Eitc Calc]])</f>
        <v>113500</v>
      </c>
      <c r="F264" s="1">
        <f>Table1[[#This Row],[taxable wages]]+interest+dividends+short_term_capital_gains+long_term_capital_gains-(trad_ira_contributions+MIN(student_loan_interest_cap,student_loan_interest))</f>
        <v>113500</v>
      </c>
      <c r="G264" s="1">
        <f t="shared" si="23"/>
        <v>12600</v>
      </c>
      <c r="H264" s="1">
        <f t="shared" si="24"/>
        <v>28350</v>
      </c>
      <c r="I264" s="1">
        <f>MAX(0,Table1[[#This Row],[Agi]]-Table1[[#This Row],[Exemptions]]-Table1[[#This Row],[Effective Deductions]])</f>
        <v>72550</v>
      </c>
      <c r="J2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9955</v>
      </c>
      <c r="K264" s="1">
        <f t="shared" si="25"/>
        <v>5000</v>
      </c>
      <c r="L264" s="1">
        <f>IF(Table1[[#This Row],[Agi]]&gt;ctc_phase_out_begins,ctc_phase_out_rate*(Table1[[#This Row],[Agi]]-ctc_phase_out_begins),0)</f>
        <v>175</v>
      </c>
      <c r="M264" s="1">
        <f>MAX(Table1[[#This Row],[Child Tax Credit]]-Table1[[#This Row],[Child Tax Credit Phase Out]],0)</f>
        <v>4825</v>
      </c>
      <c r="N264" s="1">
        <f>MAX(Table1[[#This Row],[Regular Taxes Owed]]-Table1[[#This Row],[Effective Child Tax Credit]],0)</f>
        <v>5130</v>
      </c>
      <c r="O264" s="1">
        <f>MAX(MIN((Table1[[#This Row],[taxable wages]]-3000)*0.15,1000*num_kids_16_younger),0)</f>
        <v>5000</v>
      </c>
      <c r="P264" s="9">
        <f>IF(Table1[[#This Row],[Effective Child Tax Credit]]&gt;Table1[[#This Row],[Regular Taxes Owed]],Table1[[#This Row],[Additional Child Tax Credit ]]-Table1[[#This Row],[Regular Taxes Owed]],0)</f>
        <v>0</v>
      </c>
      <c r="Q2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4" s="1">
        <f>Table1[[#This Row],[Effective Additional Child Tax Credit]]+Table1[[#This Row],[Eitc]]</f>
        <v>0</v>
      </c>
      <c r="S264" s="9">
        <f>Table1[[#This Row],[Regular Taxes Owed - Effective Child Tax Credit]]-Table1[[#This Row],[Total Credits]]</f>
        <v>5130</v>
      </c>
      <c r="T264" s="9">
        <f>Table1[[#This Row],[taxable wages]]+interest+dividends+short_term_capital_gains+long_term_capital_gains-(charitable_donations+mortgage_interest)</f>
        <v>113500</v>
      </c>
      <c r="U264" s="9">
        <f>MAX(amt_exemption-amt_exemption_phase_out_rate*MAX(Table1[[#This Row],[taxable wages]]-amt_phase_out_begins,0),0)</f>
        <v>83800</v>
      </c>
      <c r="V2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7722</v>
      </c>
      <c r="W264" s="1">
        <f>IF(AND(Table1[[#This Row],[AMT Taxes]]&gt;Table1[[#This Row],[Regular Taxes Owed]],Table1[[#This Row],[AMT Taxes]]&gt;0),Table1[[#This Row],[AMT Taxes]]-Table1[[#This Row],[Regular Taxes Owed]],0)</f>
        <v>0</v>
      </c>
      <c r="X264" s="9">
        <f>Table1[[#This Row],[Extra Taxes From Amt]]+Table1[[#This Row],[Federal Taxes Owed (No AMT)]]</f>
        <v>5130</v>
      </c>
      <c r="Y264" s="9">
        <f>IF(Table1[[#This Row],[taxable wages]]&gt;obamacare_surcharge_amount,obamacare_surcharge_percent*(Table1[[#This Row],[taxable wages]]-obamacare_surcharge_amount),0)</f>
        <v>0</v>
      </c>
      <c r="Z264" s="9">
        <f>Table1[[#This Row],[Federal Taxes Owed (Includes AMT)]]+Table1[[#This Row],[Obamacare surcharge premium]]</f>
        <v>5130</v>
      </c>
      <c r="AA264" s="9">
        <f>Table1[[#This Row],[taxable wages]]-Table1[[#This Row],[Federal Taxes Owed2]]</f>
        <v>108370</v>
      </c>
      <c r="AB264" s="51">
        <f t="shared" si="26"/>
        <v>0.2</v>
      </c>
      <c r="AC264" s="41"/>
      <c r="AD264" s="13"/>
      <c r="AE264" s="13"/>
    </row>
    <row r="265" spans="2:31" x14ac:dyDescent="0.3">
      <c r="B265" s="41">
        <f t="shared" si="27"/>
        <v>114000</v>
      </c>
      <c r="C265" s="1">
        <f>Table1[[#This Row],[taxable wages]]</f>
        <v>114000</v>
      </c>
      <c r="D265" s="1">
        <f>Table1[[#This Row],[taxable wages]]+interest+dividends+short_term_capital_gains+long_term_capital_gains</f>
        <v>114000</v>
      </c>
      <c r="E265" s="1">
        <f>MAX(Table1[[#This Row],[earned income for EITC]:[Agi For Eitc Calc]])</f>
        <v>114000</v>
      </c>
      <c r="F265" s="1">
        <f>Table1[[#This Row],[taxable wages]]+interest+dividends+short_term_capital_gains+long_term_capital_gains-(trad_ira_contributions+MIN(student_loan_interest_cap,student_loan_interest))</f>
        <v>114000</v>
      </c>
      <c r="G265" s="1">
        <f t="shared" si="23"/>
        <v>12600</v>
      </c>
      <c r="H265" s="1">
        <f t="shared" si="24"/>
        <v>28350</v>
      </c>
      <c r="I265" s="1">
        <f>MAX(0,Table1[[#This Row],[Agi]]-Table1[[#This Row],[Exemptions]]-Table1[[#This Row],[Effective Deductions]])</f>
        <v>73050</v>
      </c>
      <c r="J2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10030</v>
      </c>
      <c r="K265" s="1">
        <f t="shared" si="25"/>
        <v>5000</v>
      </c>
      <c r="L265" s="1">
        <f>IF(Table1[[#This Row],[Agi]]&gt;ctc_phase_out_begins,ctc_phase_out_rate*(Table1[[#This Row],[Agi]]-ctc_phase_out_begins),0)</f>
        <v>200</v>
      </c>
      <c r="M265" s="1">
        <f>MAX(Table1[[#This Row],[Child Tax Credit]]-Table1[[#This Row],[Child Tax Credit Phase Out]],0)</f>
        <v>4800</v>
      </c>
      <c r="N265" s="1">
        <f>MAX(Table1[[#This Row],[Regular Taxes Owed]]-Table1[[#This Row],[Effective Child Tax Credit]],0)</f>
        <v>5230</v>
      </c>
      <c r="O265" s="1">
        <f>MAX(MIN((Table1[[#This Row],[taxable wages]]-3000)*0.15,1000*num_kids_16_younger),0)</f>
        <v>5000</v>
      </c>
      <c r="P265" s="9">
        <f>IF(Table1[[#This Row],[Effective Child Tax Credit]]&gt;Table1[[#This Row],[Regular Taxes Owed]],Table1[[#This Row],[Additional Child Tax Credit ]]-Table1[[#This Row],[Regular Taxes Owed]],0)</f>
        <v>0</v>
      </c>
      <c r="Q2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5" s="1">
        <f>Table1[[#This Row],[Effective Additional Child Tax Credit]]+Table1[[#This Row],[Eitc]]</f>
        <v>0</v>
      </c>
      <c r="S265" s="9">
        <f>Table1[[#This Row],[Regular Taxes Owed - Effective Child Tax Credit]]-Table1[[#This Row],[Total Credits]]</f>
        <v>5230</v>
      </c>
      <c r="T265" s="9">
        <f>Table1[[#This Row],[taxable wages]]+interest+dividends+short_term_capital_gains+long_term_capital_gains-(charitable_donations+mortgage_interest)</f>
        <v>114000</v>
      </c>
      <c r="U265" s="9">
        <f>MAX(amt_exemption-amt_exemption_phase_out_rate*MAX(Table1[[#This Row],[taxable wages]]-amt_phase_out_begins,0),0)</f>
        <v>83800</v>
      </c>
      <c r="V2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7852</v>
      </c>
      <c r="W265" s="1">
        <f>IF(AND(Table1[[#This Row],[AMT Taxes]]&gt;Table1[[#This Row],[Regular Taxes Owed]],Table1[[#This Row],[AMT Taxes]]&gt;0),Table1[[#This Row],[AMT Taxes]]-Table1[[#This Row],[Regular Taxes Owed]],0)</f>
        <v>0</v>
      </c>
      <c r="X265" s="9">
        <f>Table1[[#This Row],[Extra Taxes From Amt]]+Table1[[#This Row],[Federal Taxes Owed (No AMT)]]</f>
        <v>5230</v>
      </c>
      <c r="Y265" s="9">
        <f>IF(Table1[[#This Row],[taxable wages]]&gt;obamacare_surcharge_amount,obamacare_surcharge_percent*(Table1[[#This Row],[taxable wages]]-obamacare_surcharge_amount),0)</f>
        <v>0</v>
      </c>
      <c r="Z265" s="9">
        <f>Table1[[#This Row],[Federal Taxes Owed (Includes AMT)]]+Table1[[#This Row],[Obamacare surcharge premium]]</f>
        <v>5230</v>
      </c>
      <c r="AA265" s="9">
        <f>Table1[[#This Row],[taxable wages]]-Table1[[#This Row],[Federal Taxes Owed2]]</f>
        <v>108770</v>
      </c>
      <c r="AB265" s="51">
        <f t="shared" si="26"/>
        <v>0.2</v>
      </c>
      <c r="AC265" s="41"/>
      <c r="AD265" s="13"/>
      <c r="AE265" s="13"/>
    </row>
    <row r="266" spans="2:31" x14ac:dyDescent="0.3">
      <c r="B266" s="41">
        <f t="shared" si="27"/>
        <v>114500</v>
      </c>
      <c r="C266" s="1">
        <f>Table1[[#This Row],[taxable wages]]</f>
        <v>114500</v>
      </c>
      <c r="D266" s="1">
        <f>Table1[[#This Row],[taxable wages]]+interest+dividends+short_term_capital_gains+long_term_capital_gains</f>
        <v>114500</v>
      </c>
      <c r="E266" s="1">
        <f>MAX(Table1[[#This Row],[earned income for EITC]:[Agi For Eitc Calc]])</f>
        <v>114500</v>
      </c>
      <c r="F266" s="1">
        <f>Table1[[#This Row],[taxable wages]]+interest+dividends+short_term_capital_gains+long_term_capital_gains-(trad_ira_contributions+MIN(student_loan_interest_cap,student_loan_interest))</f>
        <v>114500</v>
      </c>
      <c r="G266" s="1">
        <f t="shared" si="23"/>
        <v>12600</v>
      </c>
      <c r="H266" s="1">
        <f t="shared" si="24"/>
        <v>28350</v>
      </c>
      <c r="I266" s="1">
        <f>MAX(0,Table1[[#This Row],[Agi]]-Table1[[#This Row],[Exemptions]]-Table1[[#This Row],[Effective Deductions]])</f>
        <v>73550</v>
      </c>
      <c r="J2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10105</v>
      </c>
      <c r="K266" s="1">
        <f t="shared" si="25"/>
        <v>5000</v>
      </c>
      <c r="L266" s="1">
        <f>IF(Table1[[#This Row],[Agi]]&gt;ctc_phase_out_begins,ctc_phase_out_rate*(Table1[[#This Row],[Agi]]-ctc_phase_out_begins),0)</f>
        <v>225</v>
      </c>
      <c r="M266" s="1">
        <f>MAX(Table1[[#This Row],[Child Tax Credit]]-Table1[[#This Row],[Child Tax Credit Phase Out]],0)</f>
        <v>4775</v>
      </c>
      <c r="N266" s="1">
        <f>MAX(Table1[[#This Row],[Regular Taxes Owed]]-Table1[[#This Row],[Effective Child Tax Credit]],0)</f>
        <v>5330</v>
      </c>
      <c r="O266" s="1">
        <f>MAX(MIN((Table1[[#This Row],[taxable wages]]-3000)*0.15,1000*num_kids_16_younger),0)</f>
        <v>5000</v>
      </c>
      <c r="P266" s="9">
        <f>IF(Table1[[#This Row],[Effective Child Tax Credit]]&gt;Table1[[#This Row],[Regular Taxes Owed]],Table1[[#This Row],[Additional Child Tax Credit ]]-Table1[[#This Row],[Regular Taxes Owed]],0)</f>
        <v>0</v>
      </c>
      <c r="Q2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6" s="1">
        <f>Table1[[#This Row],[Effective Additional Child Tax Credit]]+Table1[[#This Row],[Eitc]]</f>
        <v>0</v>
      </c>
      <c r="S266" s="9">
        <f>Table1[[#This Row],[Regular Taxes Owed - Effective Child Tax Credit]]-Table1[[#This Row],[Total Credits]]</f>
        <v>5330</v>
      </c>
      <c r="T266" s="9">
        <f>Table1[[#This Row],[taxable wages]]+interest+dividends+short_term_capital_gains+long_term_capital_gains-(charitable_donations+mortgage_interest)</f>
        <v>114500</v>
      </c>
      <c r="U266" s="9">
        <f>MAX(amt_exemption-amt_exemption_phase_out_rate*MAX(Table1[[#This Row],[taxable wages]]-amt_phase_out_begins,0),0)</f>
        <v>83800</v>
      </c>
      <c r="V2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7982</v>
      </c>
      <c r="W266" s="1">
        <f>IF(AND(Table1[[#This Row],[AMT Taxes]]&gt;Table1[[#This Row],[Regular Taxes Owed]],Table1[[#This Row],[AMT Taxes]]&gt;0),Table1[[#This Row],[AMT Taxes]]-Table1[[#This Row],[Regular Taxes Owed]],0)</f>
        <v>0</v>
      </c>
      <c r="X266" s="9">
        <f>Table1[[#This Row],[Extra Taxes From Amt]]+Table1[[#This Row],[Federal Taxes Owed (No AMT)]]</f>
        <v>5330</v>
      </c>
      <c r="Y266" s="9">
        <f>IF(Table1[[#This Row],[taxable wages]]&gt;obamacare_surcharge_amount,obamacare_surcharge_percent*(Table1[[#This Row],[taxable wages]]-obamacare_surcharge_amount),0)</f>
        <v>0</v>
      </c>
      <c r="Z266" s="9">
        <f>Table1[[#This Row],[Federal Taxes Owed (Includes AMT)]]+Table1[[#This Row],[Obamacare surcharge premium]]</f>
        <v>5330</v>
      </c>
      <c r="AA266" s="9">
        <f>Table1[[#This Row],[taxable wages]]-Table1[[#This Row],[Federal Taxes Owed2]]</f>
        <v>109170</v>
      </c>
      <c r="AB266" s="51">
        <f t="shared" si="26"/>
        <v>0.2</v>
      </c>
      <c r="AC266" s="41"/>
      <c r="AD266" s="13"/>
      <c r="AE266" s="13"/>
    </row>
    <row r="267" spans="2:31" x14ac:dyDescent="0.3">
      <c r="B267" s="41">
        <f t="shared" si="27"/>
        <v>115000</v>
      </c>
      <c r="C267" s="1">
        <f>Table1[[#This Row],[taxable wages]]</f>
        <v>115000</v>
      </c>
      <c r="D267" s="1">
        <f>Table1[[#This Row],[taxable wages]]+interest+dividends+short_term_capital_gains+long_term_capital_gains</f>
        <v>115000</v>
      </c>
      <c r="E267" s="1">
        <f>MAX(Table1[[#This Row],[earned income for EITC]:[Agi For Eitc Calc]])</f>
        <v>115000</v>
      </c>
      <c r="F267" s="1">
        <f>Table1[[#This Row],[taxable wages]]+interest+dividends+short_term_capital_gains+long_term_capital_gains-(trad_ira_contributions+MIN(student_loan_interest_cap,student_loan_interest))</f>
        <v>115000</v>
      </c>
      <c r="G267" s="1">
        <f t="shared" si="23"/>
        <v>12600</v>
      </c>
      <c r="H267" s="1">
        <f t="shared" si="24"/>
        <v>28350</v>
      </c>
      <c r="I267" s="1">
        <f>MAX(0,Table1[[#This Row],[Agi]]-Table1[[#This Row],[Exemptions]]-Table1[[#This Row],[Effective Deductions]])</f>
        <v>74050</v>
      </c>
      <c r="J2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10180</v>
      </c>
      <c r="K267" s="1">
        <f t="shared" si="25"/>
        <v>5000</v>
      </c>
      <c r="L267" s="1">
        <f>IF(Table1[[#This Row],[Agi]]&gt;ctc_phase_out_begins,ctc_phase_out_rate*(Table1[[#This Row],[Agi]]-ctc_phase_out_begins),0)</f>
        <v>250</v>
      </c>
      <c r="M267" s="1">
        <f>MAX(Table1[[#This Row],[Child Tax Credit]]-Table1[[#This Row],[Child Tax Credit Phase Out]],0)</f>
        <v>4750</v>
      </c>
      <c r="N267" s="1">
        <f>MAX(Table1[[#This Row],[Regular Taxes Owed]]-Table1[[#This Row],[Effective Child Tax Credit]],0)</f>
        <v>5430</v>
      </c>
      <c r="O267" s="1">
        <f>MAX(MIN((Table1[[#This Row],[taxable wages]]-3000)*0.15,1000*num_kids_16_younger),0)</f>
        <v>5000</v>
      </c>
      <c r="P267" s="9">
        <f>IF(Table1[[#This Row],[Effective Child Tax Credit]]&gt;Table1[[#This Row],[Regular Taxes Owed]],Table1[[#This Row],[Additional Child Tax Credit ]]-Table1[[#This Row],[Regular Taxes Owed]],0)</f>
        <v>0</v>
      </c>
      <c r="Q2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7" s="1">
        <f>Table1[[#This Row],[Effective Additional Child Tax Credit]]+Table1[[#This Row],[Eitc]]</f>
        <v>0</v>
      </c>
      <c r="S267" s="9">
        <f>Table1[[#This Row],[Regular Taxes Owed - Effective Child Tax Credit]]-Table1[[#This Row],[Total Credits]]</f>
        <v>5430</v>
      </c>
      <c r="T267" s="9">
        <f>Table1[[#This Row],[taxable wages]]+interest+dividends+short_term_capital_gains+long_term_capital_gains-(charitable_donations+mortgage_interest)</f>
        <v>115000</v>
      </c>
      <c r="U267" s="9">
        <f>MAX(amt_exemption-amt_exemption_phase_out_rate*MAX(Table1[[#This Row],[taxable wages]]-amt_phase_out_begins,0),0)</f>
        <v>83800</v>
      </c>
      <c r="V2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8112</v>
      </c>
      <c r="W267" s="1">
        <f>IF(AND(Table1[[#This Row],[AMT Taxes]]&gt;Table1[[#This Row],[Regular Taxes Owed]],Table1[[#This Row],[AMT Taxes]]&gt;0),Table1[[#This Row],[AMT Taxes]]-Table1[[#This Row],[Regular Taxes Owed]],0)</f>
        <v>0</v>
      </c>
      <c r="X267" s="9">
        <f>Table1[[#This Row],[Extra Taxes From Amt]]+Table1[[#This Row],[Federal Taxes Owed (No AMT)]]</f>
        <v>5430</v>
      </c>
      <c r="Y267" s="9">
        <f>IF(Table1[[#This Row],[taxable wages]]&gt;obamacare_surcharge_amount,obamacare_surcharge_percent*(Table1[[#This Row],[taxable wages]]-obamacare_surcharge_amount),0)</f>
        <v>0</v>
      </c>
      <c r="Z267" s="9">
        <f>Table1[[#This Row],[Federal Taxes Owed (Includes AMT)]]+Table1[[#This Row],[Obamacare surcharge premium]]</f>
        <v>5430</v>
      </c>
      <c r="AA267" s="9">
        <f>Table1[[#This Row],[taxable wages]]-Table1[[#This Row],[Federal Taxes Owed2]]</f>
        <v>109570</v>
      </c>
      <c r="AB267" s="51">
        <f t="shared" si="26"/>
        <v>0.2</v>
      </c>
      <c r="AC267" s="41"/>
      <c r="AD267" s="13"/>
      <c r="AE267" s="13"/>
    </row>
    <row r="268" spans="2:31" x14ac:dyDescent="0.3">
      <c r="B268" s="41">
        <f t="shared" si="27"/>
        <v>115500</v>
      </c>
      <c r="C268" s="1">
        <f>Table1[[#This Row],[taxable wages]]</f>
        <v>115500</v>
      </c>
      <c r="D268" s="1">
        <f>Table1[[#This Row],[taxable wages]]+interest+dividends+short_term_capital_gains+long_term_capital_gains</f>
        <v>115500</v>
      </c>
      <c r="E268" s="1">
        <f>MAX(Table1[[#This Row],[earned income for EITC]:[Agi For Eitc Calc]])</f>
        <v>115500</v>
      </c>
      <c r="F268" s="1">
        <f>Table1[[#This Row],[taxable wages]]+interest+dividends+short_term_capital_gains+long_term_capital_gains-(trad_ira_contributions+MIN(student_loan_interest_cap,student_loan_interest))</f>
        <v>115500</v>
      </c>
      <c r="G268" s="1">
        <f t="shared" si="23"/>
        <v>12600</v>
      </c>
      <c r="H268" s="1">
        <f t="shared" si="24"/>
        <v>28350</v>
      </c>
      <c r="I268" s="1">
        <f>MAX(0,Table1[[#This Row],[Agi]]-Table1[[#This Row],[Exemptions]]-Table1[[#This Row],[Effective Deductions]])</f>
        <v>74550</v>
      </c>
      <c r="J2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10255</v>
      </c>
      <c r="K268" s="1">
        <f t="shared" si="25"/>
        <v>5000</v>
      </c>
      <c r="L268" s="1">
        <f>IF(Table1[[#This Row],[Agi]]&gt;ctc_phase_out_begins,ctc_phase_out_rate*(Table1[[#This Row],[Agi]]-ctc_phase_out_begins),0)</f>
        <v>275</v>
      </c>
      <c r="M268" s="1">
        <f>MAX(Table1[[#This Row],[Child Tax Credit]]-Table1[[#This Row],[Child Tax Credit Phase Out]],0)</f>
        <v>4725</v>
      </c>
      <c r="N268" s="1">
        <f>MAX(Table1[[#This Row],[Regular Taxes Owed]]-Table1[[#This Row],[Effective Child Tax Credit]],0)</f>
        <v>5530</v>
      </c>
      <c r="O268" s="1">
        <f>MAX(MIN((Table1[[#This Row],[taxable wages]]-3000)*0.15,1000*num_kids_16_younger),0)</f>
        <v>5000</v>
      </c>
      <c r="P268" s="9">
        <f>IF(Table1[[#This Row],[Effective Child Tax Credit]]&gt;Table1[[#This Row],[Regular Taxes Owed]],Table1[[#This Row],[Additional Child Tax Credit ]]-Table1[[#This Row],[Regular Taxes Owed]],0)</f>
        <v>0</v>
      </c>
      <c r="Q2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8" s="1">
        <f>Table1[[#This Row],[Effective Additional Child Tax Credit]]+Table1[[#This Row],[Eitc]]</f>
        <v>0</v>
      </c>
      <c r="S268" s="9">
        <f>Table1[[#This Row],[Regular Taxes Owed - Effective Child Tax Credit]]-Table1[[#This Row],[Total Credits]]</f>
        <v>5530</v>
      </c>
      <c r="T268" s="9">
        <f>Table1[[#This Row],[taxable wages]]+interest+dividends+short_term_capital_gains+long_term_capital_gains-(charitable_donations+mortgage_interest)</f>
        <v>115500</v>
      </c>
      <c r="U268" s="9">
        <f>MAX(amt_exemption-amt_exemption_phase_out_rate*MAX(Table1[[#This Row],[taxable wages]]-amt_phase_out_begins,0),0)</f>
        <v>83800</v>
      </c>
      <c r="V2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8242</v>
      </c>
      <c r="W268" s="1">
        <f>IF(AND(Table1[[#This Row],[AMT Taxes]]&gt;Table1[[#This Row],[Regular Taxes Owed]],Table1[[#This Row],[AMT Taxes]]&gt;0),Table1[[#This Row],[AMT Taxes]]-Table1[[#This Row],[Regular Taxes Owed]],0)</f>
        <v>0</v>
      </c>
      <c r="X268" s="9">
        <f>Table1[[#This Row],[Extra Taxes From Amt]]+Table1[[#This Row],[Federal Taxes Owed (No AMT)]]</f>
        <v>5530</v>
      </c>
      <c r="Y268" s="9">
        <f>IF(Table1[[#This Row],[taxable wages]]&gt;obamacare_surcharge_amount,obamacare_surcharge_percent*(Table1[[#This Row],[taxable wages]]-obamacare_surcharge_amount),0)</f>
        <v>0</v>
      </c>
      <c r="Z268" s="9">
        <f>Table1[[#This Row],[Federal Taxes Owed (Includes AMT)]]+Table1[[#This Row],[Obamacare surcharge premium]]</f>
        <v>5530</v>
      </c>
      <c r="AA268" s="9">
        <f>Table1[[#This Row],[taxable wages]]-Table1[[#This Row],[Federal Taxes Owed2]]</f>
        <v>109970</v>
      </c>
      <c r="AB268" s="51">
        <f t="shared" si="26"/>
        <v>0.2</v>
      </c>
      <c r="AC268" s="41"/>
      <c r="AD268" s="13"/>
      <c r="AE268" s="13"/>
    </row>
    <row r="269" spans="2:31" x14ac:dyDescent="0.3">
      <c r="B269" s="41">
        <f t="shared" si="27"/>
        <v>116000</v>
      </c>
      <c r="C269" s="1">
        <f>Table1[[#This Row],[taxable wages]]</f>
        <v>116000</v>
      </c>
      <c r="D269" s="1">
        <f>Table1[[#This Row],[taxable wages]]+interest+dividends+short_term_capital_gains+long_term_capital_gains</f>
        <v>116000</v>
      </c>
      <c r="E269" s="1">
        <f>MAX(Table1[[#This Row],[earned income for EITC]:[Agi For Eitc Calc]])</f>
        <v>116000</v>
      </c>
      <c r="F269" s="1">
        <f>Table1[[#This Row],[taxable wages]]+interest+dividends+short_term_capital_gains+long_term_capital_gains-(trad_ira_contributions+MIN(student_loan_interest_cap,student_loan_interest))</f>
        <v>116000</v>
      </c>
      <c r="G269" s="1">
        <f t="shared" si="23"/>
        <v>12600</v>
      </c>
      <c r="H269" s="1">
        <f t="shared" si="24"/>
        <v>28350</v>
      </c>
      <c r="I269" s="1">
        <f>MAX(0,Table1[[#This Row],[Agi]]-Table1[[#This Row],[Exemptions]]-Table1[[#This Row],[Effective Deductions]])</f>
        <v>75050</v>
      </c>
      <c r="J2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10330</v>
      </c>
      <c r="K269" s="1">
        <f t="shared" si="25"/>
        <v>5000</v>
      </c>
      <c r="L269" s="1">
        <f>IF(Table1[[#This Row],[Agi]]&gt;ctc_phase_out_begins,ctc_phase_out_rate*(Table1[[#This Row],[Agi]]-ctc_phase_out_begins),0)</f>
        <v>300</v>
      </c>
      <c r="M269" s="1">
        <f>MAX(Table1[[#This Row],[Child Tax Credit]]-Table1[[#This Row],[Child Tax Credit Phase Out]],0)</f>
        <v>4700</v>
      </c>
      <c r="N269" s="1">
        <f>MAX(Table1[[#This Row],[Regular Taxes Owed]]-Table1[[#This Row],[Effective Child Tax Credit]],0)</f>
        <v>5630</v>
      </c>
      <c r="O269" s="1">
        <f>MAX(MIN((Table1[[#This Row],[taxable wages]]-3000)*0.15,1000*num_kids_16_younger),0)</f>
        <v>5000</v>
      </c>
      <c r="P269" s="9">
        <f>IF(Table1[[#This Row],[Effective Child Tax Credit]]&gt;Table1[[#This Row],[Regular Taxes Owed]],Table1[[#This Row],[Additional Child Tax Credit ]]-Table1[[#This Row],[Regular Taxes Owed]],0)</f>
        <v>0</v>
      </c>
      <c r="Q2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69" s="1">
        <f>Table1[[#This Row],[Effective Additional Child Tax Credit]]+Table1[[#This Row],[Eitc]]</f>
        <v>0</v>
      </c>
      <c r="S269" s="9">
        <f>Table1[[#This Row],[Regular Taxes Owed - Effective Child Tax Credit]]-Table1[[#This Row],[Total Credits]]</f>
        <v>5630</v>
      </c>
      <c r="T269" s="9">
        <f>Table1[[#This Row],[taxable wages]]+interest+dividends+short_term_capital_gains+long_term_capital_gains-(charitable_donations+mortgage_interest)</f>
        <v>116000</v>
      </c>
      <c r="U269" s="9">
        <f>MAX(amt_exemption-amt_exemption_phase_out_rate*MAX(Table1[[#This Row],[taxable wages]]-amt_phase_out_begins,0),0)</f>
        <v>83800</v>
      </c>
      <c r="V2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8372</v>
      </c>
      <c r="W269" s="1">
        <f>IF(AND(Table1[[#This Row],[AMT Taxes]]&gt;Table1[[#This Row],[Regular Taxes Owed]],Table1[[#This Row],[AMT Taxes]]&gt;0),Table1[[#This Row],[AMT Taxes]]-Table1[[#This Row],[Regular Taxes Owed]],0)</f>
        <v>0</v>
      </c>
      <c r="X269" s="9">
        <f>Table1[[#This Row],[Extra Taxes From Amt]]+Table1[[#This Row],[Federal Taxes Owed (No AMT)]]</f>
        <v>5630</v>
      </c>
      <c r="Y269" s="9">
        <f>IF(Table1[[#This Row],[taxable wages]]&gt;obamacare_surcharge_amount,obamacare_surcharge_percent*(Table1[[#This Row],[taxable wages]]-obamacare_surcharge_amount),0)</f>
        <v>0</v>
      </c>
      <c r="Z269" s="9">
        <f>Table1[[#This Row],[Federal Taxes Owed (Includes AMT)]]+Table1[[#This Row],[Obamacare surcharge premium]]</f>
        <v>5630</v>
      </c>
      <c r="AA269" s="9">
        <f>Table1[[#This Row],[taxable wages]]-Table1[[#This Row],[Federal Taxes Owed2]]</f>
        <v>110370</v>
      </c>
      <c r="AB269" s="51">
        <f t="shared" si="26"/>
        <v>0.2</v>
      </c>
      <c r="AC269" s="41"/>
      <c r="AD269" s="13"/>
      <c r="AE269" s="13"/>
    </row>
    <row r="270" spans="2:31" x14ac:dyDescent="0.3">
      <c r="B270" s="41">
        <f t="shared" si="27"/>
        <v>116500</v>
      </c>
      <c r="C270" s="1">
        <f>Table1[[#This Row],[taxable wages]]</f>
        <v>116500</v>
      </c>
      <c r="D270" s="1">
        <f>Table1[[#This Row],[taxable wages]]+interest+dividends+short_term_capital_gains+long_term_capital_gains</f>
        <v>116500</v>
      </c>
      <c r="E270" s="1">
        <f>MAX(Table1[[#This Row],[earned income for EITC]:[Agi For Eitc Calc]])</f>
        <v>116500</v>
      </c>
      <c r="F270" s="1">
        <f>Table1[[#This Row],[taxable wages]]+interest+dividends+short_term_capital_gains+long_term_capital_gains-(trad_ira_contributions+MIN(student_loan_interest_cap,student_loan_interest))</f>
        <v>116500</v>
      </c>
      <c r="G270" s="1">
        <f t="shared" si="23"/>
        <v>12600</v>
      </c>
      <c r="H270" s="1">
        <f t="shared" si="24"/>
        <v>28350</v>
      </c>
      <c r="I270" s="1">
        <f>MAX(0,Table1[[#This Row],[Agi]]-Table1[[#This Row],[Exemptions]]-Table1[[#This Row],[Effective Deductions]])</f>
        <v>75550</v>
      </c>
      <c r="J2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10430</v>
      </c>
      <c r="K270" s="1">
        <f t="shared" si="25"/>
        <v>5000</v>
      </c>
      <c r="L270" s="1">
        <f>IF(Table1[[#This Row],[Agi]]&gt;ctc_phase_out_begins,ctc_phase_out_rate*(Table1[[#This Row],[Agi]]-ctc_phase_out_begins),0)</f>
        <v>325</v>
      </c>
      <c r="M270" s="1">
        <f>MAX(Table1[[#This Row],[Child Tax Credit]]-Table1[[#This Row],[Child Tax Credit Phase Out]],0)</f>
        <v>4675</v>
      </c>
      <c r="N270" s="1">
        <f>MAX(Table1[[#This Row],[Regular Taxes Owed]]-Table1[[#This Row],[Effective Child Tax Credit]],0)</f>
        <v>5755</v>
      </c>
      <c r="O270" s="1">
        <f>MAX(MIN((Table1[[#This Row],[taxable wages]]-3000)*0.15,1000*num_kids_16_younger),0)</f>
        <v>5000</v>
      </c>
      <c r="P270" s="9">
        <f>IF(Table1[[#This Row],[Effective Child Tax Credit]]&gt;Table1[[#This Row],[Regular Taxes Owed]],Table1[[#This Row],[Additional Child Tax Credit ]]-Table1[[#This Row],[Regular Taxes Owed]],0)</f>
        <v>0</v>
      </c>
      <c r="Q2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0" s="1">
        <f>Table1[[#This Row],[Effective Additional Child Tax Credit]]+Table1[[#This Row],[Eitc]]</f>
        <v>0</v>
      </c>
      <c r="S270" s="9">
        <f>Table1[[#This Row],[Regular Taxes Owed - Effective Child Tax Credit]]-Table1[[#This Row],[Total Credits]]</f>
        <v>5755</v>
      </c>
      <c r="T270" s="9">
        <f>Table1[[#This Row],[taxable wages]]+interest+dividends+short_term_capital_gains+long_term_capital_gains-(charitable_donations+mortgage_interest)</f>
        <v>116500</v>
      </c>
      <c r="U270" s="9">
        <f>MAX(amt_exemption-amt_exemption_phase_out_rate*MAX(Table1[[#This Row],[taxable wages]]-amt_phase_out_begins,0),0)</f>
        <v>83800</v>
      </c>
      <c r="V2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8502</v>
      </c>
      <c r="W270" s="1">
        <f>IF(AND(Table1[[#This Row],[AMT Taxes]]&gt;Table1[[#This Row],[Regular Taxes Owed]],Table1[[#This Row],[AMT Taxes]]&gt;0),Table1[[#This Row],[AMT Taxes]]-Table1[[#This Row],[Regular Taxes Owed]],0)</f>
        <v>0</v>
      </c>
      <c r="X270" s="9">
        <f>Table1[[#This Row],[Extra Taxes From Amt]]+Table1[[#This Row],[Federal Taxes Owed (No AMT)]]</f>
        <v>5755</v>
      </c>
      <c r="Y270" s="9">
        <f>IF(Table1[[#This Row],[taxable wages]]&gt;obamacare_surcharge_amount,obamacare_surcharge_percent*(Table1[[#This Row],[taxable wages]]-obamacare_surcharge_amount),0)</f>
        <v>0</v>
      </c>
      <c r="Z270" s="9">
        <f>Table1[[#This Row],[Federal Taxes Owed (Includes AMT)]]+Table1[[#This Row],[Obamacare surcharge premium]]</f>
        <v>5755</v>
      </c>
      <c r="AA270" s="9">
        <f>Table1[[#This Row],[taxable wages]]-Table1[[#This Row],[Federal Taxes Owed2]]</f>
        <v>110745</v>
      </c>
      <c r="AB270" s="51">
        <f t="shared" si="26"/>
        <v>0.25</v>
      </c>
      <c r="AC270" s="41"/>
      <c r="AD270" s="13"/>
      <c r="AE270" s="13"/>
    </row>
    <row r="271" spans="2:31" x14ac:dyDescent="0.3">
      <c r="B271" s="41">
        <f t="shared" si="27"/>
        <v>117000</v>
      </c>
      <c r="C271" s="1">
        <f>Table1[[#This Row],[taxable wages]]</f>
        <v>117000</v>
      </c>
      <c r="D271" s="1">
        <f>Table1[[#This Row],[taxable wages]]+interest+dividends+short_term_capital_gains+long_term_capital_gains</f>
        <v>117000</v>
      </c>
      <c r="E271" s="1">
        <f>MAX(Table1[[#This Row],[earned income for EITC]:[Agi For Eitc Calc]])</f>
        <v>117000</v>
      </c>
      <c r="F271" s="1">
        <f>Table1[[#This Row],[taxable wages]]+interest+dividends+short_term_capital_gains+long_term_capital_gains-(trad_ira_contributions+MIN(student_loan_interest_cap,student_loan_interest))</f>
        <v>117000</v>
      </c>
      <c r="G271" s="1">
        <f t="shared" si="23"/>
        <v>12600</v>
      </c>
      <c r="H271" s="1">
        <f t="shared" si="24"/>
        <v>28350</v>
      </c>
      <c r="I271" s="1">
        <f>MAX(0,Table1[[#This Row],[Agi]]-Table1[[#This Row],[Exemptions]]-Table1[[#This Row],[Effective Deductions]])</f>
        <v>76050</v>
      </c>
      <c r="J2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10555</v>
      </c>
      <c r="K271" s="1">
        <f t="shared" si="25"/>
        <v>5000</v>
      </c>
      <c r="L271" s="1">
        <f>IF(Table1[[#This Row],[Agi]]&gt;ctc_phase_out_begins,ctc_phase_out_rate*(Table1[[#This Row],[Agi]]-ctc_phase_out_begins),0)</f>
        <v>350</v>
      </c>
      <c r="M271" s="1">
        <f>MAX(Table1[[#This Row],[Child Tax Credit]]-Table1[[#This Row],[Child Tax Credit Phase Out]],0)</f>
        <v>4650</v>
      </c>
      <c r="N271" s="1">
        <f>MAX(Table1[[#This Row],[Regular Taxes Owed]]-Table1[[#This Row],[Effective Child Tax Credit]],0)</f>
        <v>5905</v>
      </c>
      <c r="O271" s="1">
        <f>MAX(MIN((Table1[[#This Row],[taxable wages]]-3000)*0.15,1000*num_kids_16_younger),0)</f>
        <v>5000</v>
      </c>
      <c r="P271" s="9">
        <f>IF(Table1[[#This Row],[Effective Child Tax Credit]]&gt;Table1[[#This Row],[Regular Taxes Owed]],Table1[[#This Row],[Additional Child Tax Credit ]]-Table1[[#This Row],[Regular Taxes Owed]],0)</f>
        <v>0</v>
      </c>
      <c r="Q2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1" s="1">
        <f>Table1[[#This Row],[Effective Additional Child Tax Credit]]+Table1[[#This Row],[Eitc]]</f>
        <v>0</v>
      </c>
      <c r="S271" s="9">
        <f>Table1[[#This Row],[Regular Taxes Owed - Effective Child Tax Credit]]-Table1[[#This Row],[Total Credits]]</f>
        <v>5905</v>
      </c>
      <c r="T271" s="9">
        <f>Table1[[#This Row],[taxable wages]]+interest+dividends+short_term_capital_gains+long_term_capital_gains-(charitable_donations+mortgage_interest)</f>
        <v>117000</v>
      </c>
      <c r="U271" s="9">
        <f>MAX(amt_exemption-amt_exemption_phase_out_rate*MAX(Table1[[#This Row],[taxable wages]]-amt_phase_out_begins,0),0)</f>
        <v>83800</v>
      </c>
      <c r="V2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8632</v>
      </c>
      <c r="W271" s="1">
        <f>IF(AND(Table1[[#This Row],[AMT Taxes]]&gt;Table1[[#This Row],[Regular Taxes Owed]],Table1[[#This Row],[AMT Taxes]]&gt;0),Table1[[#This Row],[AMT Taxes]]-Table1[[#This Row],[Regular Taxes Owed]],0)</f>
        <v>0</v>
      </c>
      <c r="X271" s="9">
        <f>Table1[[#This Row],[Extra Taxes From Amt]]+Table1[[#This Row],[Federal Taxes Owed (No AMT)]]</f>
        <v>5905</v>
      </c>
      <c r="Y271" s="9">
        <f>IF(Table1[[#This Row],[taxable wages]]&gt;obamacare_surcharge_amount,obamacare_surcharge_percent*(Table1[[#This Row],[taxable wages]]-obamacare_surcharge_amount),0)</f>
        <v>0</v>
      </c>
      <c r="Z271" s="9">
        <f>Table1[[#This Row],[Federal Taxes Owed (Includes AMT)]]+Table1[[#This Row],[Obamacare surcharge premium]]</f>
        <v>5905</v>
      </c>
      <c r="AA271" s="9">
        <f>Table1[[#This Row],[taxable wages]]-Table1[[#This Row],[Federal Taxes Owed2]]</f>
        <v>111095</v>
      </c>
      <c r="AB271" s="51">
        <f t="shared" si="26"/>
        <v>0.3</v>
      </c>
      <c r="AC271" s="41"/>
      <c r="AD271" s="13"/>
      <c r="AE271" s="13"/>
    </row>
    <row r="272" spans="2:31" x14ac:dyDescent="0.3">
      <c r="B272" s="41">
        <f t="shared" si="27"/>
        <v>117500</v>
      </c>
      <c r="C272" s="1">
        <f>Table1[[#This Row],[taxable wages]]</f>
        <v>117500</v>
      </c>
      <c r="D272" s="1">
        <f>Table1[[#This Row],[taxable wages]]+interest+dividends+short_term_capital_gains+long_term_capital_gains</f>
        <v>117500</v>
      </c>
      <c r="E272" s="1">
        <f>MAX(Table1[[#This Row],[earned income for EITC]:[Agi For Eitc Calc]])</f>
        <v>117500</v>
      </c>
      <c r="F272" s="1">
        <f>Table1[[#This Row],[taxable wages]]+interest+dividends+short_term_capital_gains+long_term_capital_gains-(trad_ira_contributions+MIN(student_loan_interest_cap,student_loan_interest))</f>
        <v>117500</v>
      </c>
      <c r="G272" s="1">
        <f t="shared" si="23"/>
        <v>12600</v>
      </c>
      <c r="H272" s="1">
        <f t="shared" si="24"/>
        <v>28350</v>
      </c>
      <c r="I272" s="1">
        <f>MAX(0,Table1[[#This Row],[Agi]]-Table1[[#This Row],[Exemptions]]-Table1[[#This Row],[Effective Deductions]])</f>
        <v>76550</v>
      </c>
      <c r="J2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10680</v>
      </c>
      <c r="K272" s="1">
        <f t="shared" si="25"/>
        <v>5000</v>
      </c>
      <c r="L272" s="1">
        <f>IF(Table1[[#This Row],[Agi]]&gt;ctc_phase_out_begins,ctc_phase_out_rate*(Table1[[#This Row],[Agi]]-ctc_phase_out_begins),0)</f>
        <v>375</v>
      </c>
      <c r="M272" s="1">
        <f>MAX(Table1[[#This Row],[Child Tax Credit]]-Table1[[#This Row],[Child Tax Credit Phase Out]],0)</f>
        <v>4625</v>
      </c>
      <c r="N272" s="1">
        <f>MAX(Table1[[#This Row],[Regular Taxes Owed]]-Table1[[#This Row],[Effective Child Tax Credit]],0)</f>
        <v>6055</v>
      </c>
      <c r="O272" s="1">
        <f>MAX(MIN((Table1[[#This Row],[taxable wages]]-3000)*0.15,1000*num_kids_16_younger),0)</f>
        <v>5000</v>
      </c>
      <c r="P272" s="9">
        <f>IF(Table1[[#This Row],[Effective Child Tax Credit]]&gt;Table1[[#This Row],[Regular Taxes Owed]],Table1[[#This Row],[Additional Child Tax Credit ]]-Table1[[#This Row],[Regular Taxes Owed]],0)</f>
        <v>0</v>
      </c>
      <c r="Q2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2" s="1">
        <f>Table1[[#This Row],[Effective Additional Child Tax Credit]]+Table1[[#This Row],[Eitc]]</f>
        <v>0</v>
      </c>
      <c r="S272" s="9">
        <f>Table1[[#This Row],[Regular Taxes Owed - Effective Child Tax Credit]]-Table1[[#This Row],[Total Credits]]</f>
        <v>6055</v>
      </c>
      <c r="T272" s="9">
        <f>Table1[[#This Row],[taxable wages]]+interest+dividends+short_term_capital_gains+long_term_capital_gains-(charitable_donations+mortgage_interest)</f>
        <v>117500</v>
      </c>
      <c r="U272" s="9">
        <f>MAX(amt_exemption-amt_exemption_phase_out_rate*MAX(Table1[[#This Row],[taxable wages]]-amt_phase_out_begins,0),0)</f>
        <v>83800</v>
      </c>
      <c r="V2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8762</v>
      </c>
      <c r="W272" s="1">
        <f>IF(AND(Table1[[#This Row],[AMT Taxes]]&gt;Table1[[#This Row],[Regular Taxes Owed]],Table1[[#This Row],[AMT Taxes]]&gt;0),Table1[[#This Row],[AMT Taxes]]-Table1[[#This Row],[Regular Taxes Owed]],0)</f>
        <v>0</v>
      </c>
      <c r="X272" s="9">
        <f>Table1[[#This Row],[Extra Taxes From Amt]]+Table1[[#This Row],[Federal Taxes Owed (No AMT)]]</f>
        <v>6055</v>
      </c>
      <c r="Y272" s="9">
        <f>IF(Table1[[#This Row],[taxable wages]]&gt;obamacare_surcharge_amount,obamacare_surcharge_percent*(Table1[[#This Row],[taxable wages]]-obamacare_surcharge_amount),0)</f>
        <v>0</v>
      </c>
      <c r="Z272" s="9">
        <f>Table1[[#This Row],[Federal Taxes Owed (Includes AMT)]]+Table1[[#This Row],[Obamacare surcharge premium]]</f>
        <v>6055</v>
      </c>
      <c r="AA272" s="9">
        <f>Table1[[#This Row],[taxable wages]]-Table1[[#This Row],[Federal Taxes Owed2]]</f>
        <v>111445</v>
      </c>
      <c r="AB272" s="51">
        <f t="shared" si="26"/>
        <v>0.3</v>
      </c>
      <c r="AC272" s="41"/>
      <c r="AD272" s="13"/>
      <c r="AE272" s="13"/>
    </row>
    <row r="273" spans="2:31" x14ac:dyDescent="0.3">
      <c r="B273" s="41">
        <f t="shared" si="27"/>
        <v>118000</v>
      </c>
      <c r="C273" s="1">
        <f>Table1[[#This Row],[taxable wages]]</f>
        <v>118000</v>
      </c>
      <c r="D273" s="1">
        <f>Table1[[#This Row],[taxable wages]]+interest+dividends+short_term_capital_gains+long_term_capital_gains</f>
        <v>118000</v>
      </c>
      <c r="E273" s="1">
        <f>MAX(Table1[[#This Row],[earned income for EITC]:[Agi For Eitc Calc]])</f>
        <v>118000</v>
      </c>
      <c r="F273" s="1">
        <f>Table1[[#This Row],[taxable wages]]+interest+dividends+short_term_capital_gains+long_term_capital_gains-(trad_ira_contributions+MIN(student_loan_interest_cap,student_loan_interest))</f>
        <v>118000</v>
      </c>
      <c r="G273" s="1">
        <f t="shared" si="23"/>
        <v>12600</v>
      </c>
      <c r="H273" s="1">
        <f t="shared" si="24"/>
        <v>28350</v>
      </c>
      <c r="I273" s="1">
        <f>MAX(0,Table1[[#This Row],[Agi]]-Table1[[#This Row],[Exemptions]]-Table1[[#This Row],[Effective Deductions]])</f>
        <v>77050</v>
      </c>
      <c r="J2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10805</v>
      </c>
      <c r="K273" s="1">
        <f t="shared" si="25"/>
        <v>5000</v>
      </c>
      <c r="L273" s="1">
        <f>IF(Table1[[#This Row],[Agi]]&gt;ctc_phase_out_begins,ctc_phase_out_rate*(Table1[[#This Row],[Agi]]-ctc_phase_out_begins),0)</f>
        <v>400</v>
      </c>
      <c r="M273" s="1">
        <f>MAX(Table1[[#This Row],[Child Tax Credit]]-Table1[[#This Row],[Child Tax Credit Phase Out]],0)</f>
        <v>4600</v>
      </c>
      <c r="N273" s="1">
        <f>MAX(Table1[[#This Row],[Regular Taxes Owed]]-Table1[[#This Row],[Effective Child Tax Credit]],0)</f>
        <v>6205</v>
      </c>
      <c r="O273" s="1">
        <f>MAX(MIN((Table1[[#This Row],[taxable wages]]-3000)*0.15,1000*num_kids_16_younger),0)</f>
        <v>5000</v>
      </c>
      <c r="P273" s="9">
        <f>IF(Table1[[#This Row],[Effective Child Tax Credit]]&gt;Table1[[#This Row],[Regular Taxes Owed]],Table1[[#This Row],[Additional Child Tax Credit ]]-Table1[[#This Row],[Regular Taxes Owed]],0)</f>
        <v>0</v>
      </c>
      <c r="Q2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3" s="1">
        <f>Table1[[#This Row],[Effective Additional Child Tax Credit]]+Table1[[#This Row],[Eitc]]</f>
        <v>0</v>
      </c>
      <c r="S273" s="9">
        <f>Table1[[#This Row],[Regular Taxes Owed - Effective Child Tax Credit]]-Table1[[#This Row],[Total Credits]]</f>
        <v>6205</v>
      </c>
      <c r="T273" s="9">
        <f>Table1[[#This Row],[taxable wages]]+interest+dividends+short_term_capital_gains+long_term_capital_gains-(charitable_donations+mortgage_interest)</f>
        <v>118000</v>
      </c>
      <c r="U273" s="9">
        <f>MAX(amt_exemption-amt_exemption_phase_out_rate*MAX(Table1[[#This Row],[taxable wages]]-amt_phase_out_begins,0),0)</f>
        <v>83800</v>
      </c>
      <c r="V2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8892</v>
      </c>
      <c r="W273" s="1">
        <f>IF(AND(Table1[[#This Row],[AMT Taxes]]&gt;Table1[[#This Row],[Regular Taxes Owed]],Table1[[#This Row],[AMT Taxes]]&gt;0),Table1[[#This Row],[AMT Taxes]]-Table1[[#This Row],[Regular Taxes Owed]],0)</f>
        <v>0</v>
      </c>
      <c r="X273" s="9">
        <f>Table1[[#This Row],[Extra Taxes From Amt]]+Table1[[#This Row],[Federal Taxes Owed (No AMT)]]</f>
        <v>6205</v>
      </c>
      <c r="Y273" s="9">
        <f>IF(Table1[[#This Row],[taxable wages]]&gt;obamacare_surcharge_amount,obamacare_surcharge_percent*(Table1[[#This Row],[taxable wages]]-obamacare_surcharge_amount),0)</f>
        <v>0</v>
      </c>
      <c r="Z273" s="9">
        <f>Table1[[#This Row],[Federal Taxes Owed (Includes AMT)]]+Table1[[#This Row],[Obamacare surcharge premium]]</f>
        <v>6205</v>
      </c>
      <c r="AA273" s="9">
        <f>Table1[[#This Row],[taxable wages]]-Table1[[#This Row],[Federal Taxes Owed2]]</f>
        <v>111795</v>
      </c>
      <c r="AB273" s="51">
        <f t="shared" si="26"/>
        <v>0.3</v>
      </c>
      <c r="AC273" s="41"/>
      <c r="AD273" s="13"/>
      <c r="AE273" s="13"/>
    </row>
    <row r="274" spans="2:31" x14ac:dyDescent="0.3">
      <c r="B274" s="41">
        <f t="shared" si="27"/>
        <v>118500</v>
      </c>
      <c r="C274" s="1">
        <f>Table1[[#This Row],[taxable wages]]</f>
        <v>118500</v>
      </c>
      <c r="D274" s="1">
        <f>Table1[[#This Row],[taxable wages]]+interest+dividends+short_term_capital_gains+long_term_capital_gains</f>
        <v>118500</v>
      </c>
      <c r="E274" s="1">
        <f>MAX(Table1[[#This Row],[earned income for EITC]:[Agi For Eitc Calc]])</f>
        <v>118500</v>
      </c>
      <c r="F274" s="1">
        <f>Table1[[#This Row],[taxable wages]]+interest+dividends+short_term_capital_gains+long_term_capital_gains-(trad_ira_contributions+MIN(student_loan_interest_cap,student_loan_interest))</f>
        <v>118500</v>
      </c>
      <c r="G274" s="1">
        <f t="shared" si="23"/>
        <v>12600</v>
      </c>
      <c r="H274" s="1">
        <f t="shared" si="24"/>
        <v>28350</v>
      </c>
      <c r="I274" s="1">
        <f>MAX(0,Table1[[#This Row],[Agi]]-Table1[[#This Row],[Exemptions]]-Table1[[#This Row],[Effective Deductions]])</f>
        <v>77550</v>
      </c>
      <c r="J2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10930</v>
      </c>
      <c r="K274" s="1">
        <f t="shared" si="25"/>
        <v>5000</v>
      </c>
      <c r="L274" s="1">
        <f>IF(Table1[[#This Row],[Agi]]&gt;ctc_phase_out_begins,ctc_phase_out_rate*(Table1[[#This Row],[Agi]]-ctc_phase_out_begins),0)</f>
        <v>425</v>
      </c>
      <c r="M274" s="1">
        <f>MAX(Table1[[#This Row],[Child Tax Credit]]-Table1[[#This Row],[Child Tax Credit Phase Out]],0)</f>
        <v>4575</v>
      </c>
      <c r="N274" s="1">
        <f>MAX(Table1[[#This Row],[Regular Taxes Owed]]-Table1[[#This Row],[Effective Child Tax Credit]],0)</f>
        <v>6355</v>
      </c>
      <c r="O274" s="1">
        <f>MAX(MIN((Table1[[#This Row],[taxable wages]]-3000)*0.15,1000*num_kids_16_younger),0)</f>
        <v>5000</v>
      </c>
      <c r="P274" s="9">
        <f>IF(Table1[[#This Row],[Effective Child Tax Credit]]&gt;Table1[[#This Row],[Regular Taxes Owed]],Table1[[#This Row],[Additional Child Tax Credit ]]-Table1[[#This Row],[Regular Taxes Owed]],0)</f>
        <v>0</v>
      </c>
      <c r="Q2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4" s="1">
        <f>Table1[[#This Row],[Effective Additional Child Tax Credit]]+Table1[[#This Row],[Eitc]]</f>
        <v>0</v>
      </c>
      <c r="S274" s="9">
        <f>Table1[[#This Row],[Regular Taxes Owed - Effective Child Tax Credit]]-Table1[[#This Row],[Total Credits]]</f>
        <v>6355</v>
      </c>
      <c r="T274" s="9">
        <f>Table1[[#This Row],[taxable wages]]+interest+dividends+short_term_capital_gains+long_term_capital_gains-(charitable_donations+mortgage_interest)</f>
        <v>118500</v>
      </c>
      <c r="U274" s="9">
        <f>MAX(amt_exemption-amt_exemption_phase_out_rate*MAX(Table1[[#This Row],[taxable wages]]-amt_phase_out_begins,0),0)</f>
        <v>83800</v>
      </c>
      <c r="V2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9022</v>
      </c>
      <c r="W274" s="1">
        <f>IF(AND(Table1[[#This Row],[AMT Taxes]]&gt;Table1[[#This Row],[Regular Taxes Owed]],Table1[[#This Row],[AMT Taxes]]&gt;0),Table1[[#This Row],[AMT Taxes]]-Table1[[#This Row],[Regular Taxes Owed]],0)</f>
        <v>0</v>
      </c>
      <c r="X274" s="9">
        <f>Table1[[#This Row],[Extra Taxes From Amt]]+Table1[[#This Row],[Federal Taxes Owed (No AMT)]]</f>
        <v>6355</v>
      </c>
      <c r="Y274" s="9">
        <f>IF(Table1[[#This Row],[taxable wages]]&gt;obamacare_surcharge_amount,obamacare_surcharge_percent*(Table1[[#This Row],[taxable wages]]-obamacare_surcharge_amount),0)</f>
        <v>0</v>
      </c>
      <c r="Z274" s="9">
        <f>Table1[[#This Row],[Federal Taxes Owed (Includes AMT)]]+Table1[[#This Row],[Obamacare surcharge premium]]</f>
        <v>6355</v>
      </c>
      <c r="AA274" s="9">
        <f>Table1[[#This Row],[taxable wages]]-Table1[[#This Row],[Federal Taxes Owed2]]</f>
        <v>112145</v>
      </c>
      <c r="AB274" s="51">
        <f t="shared" si="26"/>
        <v>0.3</v>
      </c>
      <c r="AC274" s="41"/>
      <c r="AD274" s="13"/>
      <c r="AE274" s="13"/>
    </row>
    <row r="275" spans="2:31" x14ac:dyDescent="0.3">
      <c r="B275" s="41">
        <f t="shared" si="27"/>
        <v>119000</v>
      </c>
      <c r="C275" s="1">
        <f>Table1[[#This Row],[taxable wages]]</f>
        <v>119000</v>
      </c>
      <c r="D275" s="1">
        <f>Table1[[#This Row],[taxable wages]]+interest+dividends+short_term_capital_gains+long_term_capital_gains</f>
        <v>119000</v>
      </c>
      <c r="E275" s="1">
        <f>MAX(Table1[[#This Row],[earned income for EITC]:[Agi For Eitc Calc]])</f>
        <v>119000</v>
      </c>
      <c r="F275" s="1">
        <f>Table1[[#This Row],[taxable wages]]+interest+dividends+short_term_capital_gains+long_term_capital_gains-(trad_ira_contributions+MIN(student_loan_interest_cap,student_loan_interest))</f>
        <v>119000</v>
      </c>
      <c r="G275" s="1">
        <f t="shared" si="23"/>
        <v>12600</v>
      </c>
      <c r="H275" s="1">
        <f t="shared" si="24"/>
        <v>28350</v>
      </c>
      <c r="I275" s="1">
        <f>MAX(0,Table1[[#This Row],[Agi]]-Table1[[#This Row],[Exemptions]]-Table1[[#This Row],[Effective Deductions]])</f>
        <v>78050</v>
      </c>
      <c r="J2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11055</v>
      </c>
      <c r="K275" s="1">
        <f t="shared" si="25"/>
        <v>5000</v>
      </c>
      <c r="L275" s="1">
        <f>IF(Table1[[#This Row],[Agi]]&gt;ctc_phase_out_begins,ctc_phase_out_rate*(Table1[[#This Row],[Agi]]-ctc_phase_out_begins),0)</f>
        <v>450</v>
      </c>
      <c r="M275" s="1">
        <f>MAX(Table1[[#This Row],[Child Tax Credit]]-Table1[[#This Row],[Child Tax Credit Phase Out]],0)</f>
        <v>4550</v>
      </c>
      <c r="N275" s="1">
        <f>MAX(Table1[[#This Row],[Regular Taxes Owed]]-Table1[[#This Row],[Effective Child Tax Credit]],0)</f>
        <v>6505</v>
      </c>
      <c r="O275" s="1">
        <f>MAX(MIN((Table1[[#This Row],[taxable wages]]-3000)*0.15,1000*num_kids_16_younger),0)</f>
        <v>5000</v>
      </c>
      <c r="P275" s="9">
        <f>IF(Table1[[#This Row],[Effective Child Tax Credit]]&gt;Table1[[#This Row],[Regular Taxes Owed]],Table1[[#This Row],[Additional Child Tax Credit ]]-Table1[[#This Row],[Regular Taxes Owed]],0)</f>
        <v>0</v>
      </c>
      <c r="Q2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5" s="1">
        <f>Table1[[#This Row],[Effective Additional Child Tax Credit]]+Table1[[#This Row],[Eitc]]</f>
        <v>0</v>
      </c>
      <c r="S275" s="9">
        <f>Table1[[#This Row],[Regular Taxes Owed - Effective Child Tax Credit]]-Table1[[#This Row],[Total Credits]]</f>
        <v>6505</v>
      </c>
      <c r="T275" s="9">
        <f>Table1[[#This Row],[taxable wages]]+interest+dividends+short_term_capital_gains+long_term_capital_gains-(charitable_donations+mortgage_interest)</f>
        <v>119000</v>
      </c>
      <c r="U275" s="9">
        <f>MAX(amt_exemption-amt_exemption_phase_out_rate*MAX(Table1[[#This Row],[taxable wages]]-amt_phase_out_begins,0),0)</f>
        <v>83800</v>
      </c>
      <c r="V2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9152</v>
      </c>
      <c r="W275" s="1">
        <f>IF(AND(Table1[[#This Row],[AMT Taxes]]&gt;Table1[[#This Row],[Regular Taxes Owed]],Table1[[#This Row],[AMT Taxes]]&gt;0),Table1[[#This Row],[AMT Taxes]]-Table1[[#This Row],[Regular Taxes Owed]],0)</f>
        <v>0</v>
      </c>
      <c r="X275" s="9">
        <f>Table1[[#This Row],[Extra Taxes From Amt]]+Table1[[#This Row],[Federal Taxes Owed (No AMT)]]</f>
        <v>6505</v>
      </c>
      <c r="Y275" s="9">
        <f>IF(Table1[[#This Row],[taxable wages]]&gt;obamacare_surcharge_amount,obamacare_surcharge_percent*(Table1[[#This Row],[taxable wages]]-obamacare_surcharge_amount),0)</f>
        <v>0</v>
      </c>
      <c r="Z275" s="9">
        <f>Table1[[#This Row],[Federal Taxes Owed (Includes AMT)]]+Table1[[#This Row],[Obamacare surcharge premium]]</f>
        <v>6505</v>
      </c>
      <c r="AA275" s="9">
        <f>Table1[[#This Row],[taxable wages]]-Table1[[#This Row],[Federal Taxes Owed2]]</f>
        <v>112495</v>
      </c>
      <c r="AB275" s="51">
        <f t="shared" si="26"/>
        <v>0.3</v>
      </c>
      <c r="AC275" s="41"/>
      <c r="AD275" s="13"/>
      <c r="AE275" s="13"/>
    </row>
    <row r="276" spans="2:31" x14ac:dyDescent="0.3">
      <c r="B276" s="41">
        <f t="shared" si="27"/>
        <v>119500</v>
      </c>
      <c r="C276" s="1">
        <f>Table1[[#This Row],[taxable wages]]</f>
        <v>119500</v>
      </c>
      <c r="D276" s="1">
        <f>Table1[[#This Row],[taxable wages]]+interest+dividends+short_term_capital_gains+long_term_capital_gains</f>
        <v>119500</v>
      </c>
      <c r="E276" s="1">
        <f>MAX(Table1[[#This Row],[earned income for EITC]:[Agi For Eitc Calc]])</f>
        <v>119500</v>
      </c>
      <c r="F276" s="1">
        <f>Table1[[#This Row],[taxable wages]]+interest+dividends+short_term_capital_gains+long_term_capital_gains-(trad_ira_contributions+MIN(student_loan_interest_cap,student_loan_interest))</f>
        <v>119500</v>
      </c>
      <c r="G276" s="1">
        <f t="shared" si="23"/>
        <v>12600</v>
      </c>
      <c r="H276" s="1">
        <f t="shared" si="24"/>
        <v>28350</v>
      </c>
      <c r="I276" s="1">
        <f>MAX(0,Table1[[#This Row],[Agi]]-Table1[[#This Row],[Exemptions]]-Table1[[#This Row],[Effective Deductions]])</f>
        <v>78550</v>
      </c>
      <c r="J2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11180</v>
      </c>
      <c r="K276" s="1">
        <f t="shared" si="25"/>
        <v>5000</v>
      </c>
      <c r="L276" s="1">
        <f>IF(Table1[[#This Row],[Agi]]&gt;ctc_phase_out_begins,ctc_phase_out_rate*(Table1[[#This Row],[Agi]]-ctc_phase_out_begins),0)</f>
        <v>475</v>
      </c>
      <c r="M276" s="1">
        <f>MAX(Table1[[#This Row],[Child Tax Credit]]-Table1[[#This Row],[Child Tax Credit Phase Out]],0)</f>
        <v>4525</v>
      </c>
      <c r="N276" s="1">
        <f>MAX(Table1[[#This Row],[Regular Taxes Owed]]-Table1[[#This Row],[Effective Child Tax Credit]],0)</f>
        <v>6655</v>
      </c>
      <c r="O276" s="1">
        <f>MAX(MIN((Table1[[#This Row],[taxable wages]]-3000)*0.15,1000*num_kids_16_younger),0)</f>
        <v>5000</v>
      </c>
      <c r="P276" s="9">
        <f>IF(Table1[[#This Row],[Effective Child Tax Credit]]&gt;Table1[[#This Row],[Regular Taxes Owed]],Table1[[#This Row],[Additional Child Tax Credit ]]-Table1[[#This Row],[Regular Taxes Owed]],0)</f>
        <v>0</v>
      </c>
      <c r="Q2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6" s="1">
        <f>Table1[[#This Row],[Effective Additional Child Tax Credit]]+Table1[[#This Row],[Eitc]]</f>
        <v>0</v>
      </c>
      <c r="S276" s="9">
        <f>Table1[[#This Row],[Regular Taxes Owed - Effective Child Tax Credit]]-Table1[[#This Row],[Total Credits]]</f>
        <v>6655</v>
      </c>
      <c r="T276" s="9">
        <f>Table1[[#This Row],[taxable wages]]+interest+dividends+short_term_capital_gains+long_term_capital_gains-(charitable_donations+mortgage_interest)</f>
        <v>119500</v>
      </c>
      <c r="U276" s="9">
        <f>MAX(amt_exemption-amt_exemption_phase_out_rate*MAX(Table1[[#This Row],[taxable wages]]-amt_phase_out_begins,0),0)</f>
        <v>83800</v>
      </c>
      <c r="V2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9282</v>
      </c>
      <c r="W276" s="1">
        <f>IF(AND(Table1[[#This Row],[AMT Taxes]]&gt;Table1[[#This Row],[Regular Taxes Owed]],Table1[[#This Row],[AMT Taxes]]&gt;0),Table1[[#This Row],[AMT Taxes]]-Table1[[#This Row],[Regular Taxes Owed]],0)</f>
        <v>0</v>
      </c>
      <c r="X276" s="9">
        <f>Table1[[#This Row],[Extra Taxes From Amt]]+Table1[[#This Row],[Federal Taxes Owed (No AMT)]]</f>
        <v>6655</v>
      </c>
      <c r="Y276" s="9">
        <f>IF(Table1[[#This Row],[taxable wages]]&gt;obamacare_surcharge_amount,obamacare_surcharge_percent*(Table1[[#This Row],[taxable wages]]-obamacare_surcharge_amount),0)</f>
        <v>0</v>
      </c>
      <c r="Z276" s="9">
        <f>Table1[[#This Row],[Federal Taxes Owed (Includes AMT)]]+Table1[[#This Row],[Obamacare surcharge premium]]</f>
        <v>6655</v>
      </c>
      <c r="AA276" s="9">
        <f>Table1[[#This Row],[taxable wages]]-Table1[[#This Row],[Federal Taxes Owed2]]</f>
        <v>112845</v>
      </c>
      <c r="AB276" s="51">
        <f t="shared" si="26"/>
        <v>0.3</v>
      </c>
      <c r="AC276" s="41"/>
      <c r="AD276" s="13"/>
      <c r="AE276" s="13"/>
    </row>
    <row r="277" spans="2:31" x14ac:dyDescent="0.3">
      <c r="B277" s="41">
        <f t="shared" si="27"/>
        <v>120000</v>
      </c>
      <c r="C277" s="1">
        <f>Table1[[#This Row],[taxable wages]]</f>
        <v>120000</v>
      </c>
      <c r="D277" s="1">
        <f>Table1[[#This Row],[taxable wages]]+interest+dividends+short_term_capital_gains+long_term_capital_gains</f>
        <v>120000</v>
      </c>
      <c r="E277" s="1">
        <f>MAX(Table1[[#This Row],[earned income for EITC]:[Agi For Eitc Calc]])</f>
        <v>120000</v>
      </c>
      <c r="F277" s="1">
        <f>Table1[[#This Row],[taxable wages]]+interest+dividends+short_term_capital_gains+long_term_capital_gains-(trad_ira_contributions+MIN(student_loan_interest_cap,student_loan_interest))</f>
        <v>120000</v>
      </c>
      <c r="G277" s="1">
        <f t="shared" si="23"/>
        <v>12600</v>
      </c>
      <c r="H277" s="1">
        <f t="shared" si="24"/>
        <v>28350</v>
      </c>
      <c r="I277" s="1">
        <f>MAX(0,Table1[[#This Row],[Agi]]-Table1[[#This Row],[Exemptions]]-Table1[[#This Row],[Effective Deductions]])</f>
        <v>79050</v>
      </c>
      <c r="J2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11305</v>
      </c>
      <c r="K277" s="1">
        <f t="shared" si="25"/>
        <v>5000</v>
      </c>
      <c r="L277" s="1">
        <f>IF(Table1[[#This Row],[Agi]]&gt;ctc_phase_out_begins,ctc_phase_out_rate*(Table1[[#This Row],[Agi]]-ctc_phase_out_begins),0)</f>
        <v>500</v>
      </c>
      <c r="M277" s="1">
        <f>MAX(Table1[[#This Row],[Child Tax Credit]]-Table1[[#This Row],[Child Tax Credit Phase Out]],0)</f>
        <v>4500</v>
      </c>
      <c r="N277" s="1">
        <f>MAX(Table1[[#This Row],[Regular Taxes Owed]]-Table1[[#This Row],[Effective Child Tax Credit]],0)</f>
        <v>6805</v>
      </c>
      <c r="O277" s="1">
        <f>MAX(MIN((Table1[[#This Row],[taxable wages]]-3000)*0.15,1000*num_kids_16_younger),0)</f>
        <v>5000</v>
      </c>
      <c r="P277" s="9">
        <f>IF(Table1[[#This Row],[Effective Child Tax Credit]]&gt;Table1[[#This Row],[Regular Taxes Owed]],Table1[[#This Row],[Additional Child Tax Credit ]]-Table1[[#This Row],[Regular Taxes Owed]],0)</f>
        <v>0</v>
      </c>
      <c r="Q2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7" s="1">
        <f>Table1[[#This Row],[Effective Additional Child Tax Credit]]+Table1[[#This Row],[Eitc]]</f>
        <v>0</v>
      </c>
      <c r="S277" s="9">
        <f>Table1[[#This Row],[Regular Taxes Owed - Effective Child Tax Credit]]-Table1[[#This Row],[Total Credits]]</f>
        <v>6805</v>
      </c>
      <c r="T277" s="9">
        <f>Table1[[#This Row],[taxable wages]]+interest+dividends+short_term_capital_gains+long_term_capital_gains-(charitable_donations+mortgage_interest)</f>
        <v>120000</v>
      </c>
      <c r="U277" s="9">
        <f>MAX(amt_exemption-amt_exemption_phase_out_rate*MAX(Table1[[#This Row],[taxable wages]]-amt_phase_out_begins,0),0)</f>
        <v>83800</v>
      </c>
      <c r="V2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9412</v>
      </c>
      <c r="W277" s="1">
        <f>IF(AND(Table1[[#This Row],[AMT Taxes]]&gt;Table1[[#This Row],[Regular Taxes Owed]],Table1[[#This Row],[AMT Taxes]]&gt;0),Table1[[#This Row],[AMT Taxes]]-Table1[[#This Row],[Regular Taxes Owed]],0)</f>
        <v>0</v>
      </c>
      <c r="X277" s="9">
        <f>Table1[[#This Row],[Extra Taxes From Amt]]+Table1[[#This Row],[Federal Taxes Owed (No AMT)]]</f>
        <v>6805</v>
      </c>
      <c r="Y277" s="9">
        <f>IF(Table1[[#This Row],[taxable wages]]&gt;obamacare_surcharge_amount,obamacare_surcharge_percent*(Table1[[#This Row],[taxable wages]]-obamacare_surcharge_amount),0)</f>
        <v>0</v>
      </c>
      <c r="Z277" s="9">
        <f>Table1[[#This Row],[Federal Taxes Owed (Includes AMT)]]+Table1[[#This Row],[Obamacare surcharge premium]]</f>
        <v>6805</v>
      </c>
      <c r="AA277" s="9">
        <f>Table1[[#This Row],[taxable wages]]-Table1[[#This Row],[Federal Taxes Owed2]]</f>
        <v>113195</v>
      </c>
      <c r="AB277" s="51">
        <f t="shared" si="26"/>
        <v>0.3</v>
      </c>
      <c r="AC277" s="41"/>
      <c r="AD277" s="13"/>
      <c r="AE277" s="13"/>
    </row>
    <row r="278" spans="2:31" x14ac:dyDescent="0.3">
      <c r="B278" s="41">
        <f t="shared" si="27"/>
        <v>120500</v>
      </c>
      <c r="C278" s="1">
        <f>Table1[[#This Row],[taxable wages]]</f>
        <v>120500</v>
      </c>
      <c r="D278" s="1">
        <f>Table1[[#This Row],[taxable wages]]+interest+dividends+short_term_capital_gains+long_term_capital_gains</f>
        <v>120500</v>
      </c>
      <c r="E278" s="1">
        <f>MAX(Table1[[#This Row],[earned income for EITC]:[Agi For Eitc Calc]])</f>
        <v>120500</v>
      </c>
      <c r="F278" s="1">
        <f>Table1[[#This Row],[taxable wages]]+interest+dividends+short_term_capital_gains+long_term_capital_gains-(trad_ira_contributions+MIN(student_loan_interest_cap,student_loan_interest))</f>
        <v>120500</v>
      </c>
      <c r="G278" s="1">
        <f t="shared" si="23"/>
        <v>12600</v>
      </c>
      <c r="H278" s="1">
        <f t="shared" si="24"/>
        <v>28350</v>
      </c>
      <c r="I278" s="1">
        <f>MAX(0,Table1[[#This Row],[Agi]]-Table1[[#This Row],[Exemptions]]-Table1[[#This Row],[Effective Deductions]])</f>
        <v>79550</v>
      </c>
      <c r="J2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11430</v>
      </c>
      <c r="K278" s="1">
        <f t="shared" si="25"/>
        <v>5000</v>
      </c>
      <c r="L278" s="1">
        <f>IF(Table1[[#This Row],[Agi]]&gt;ctc_phase_out_begins,ctc_phase_out_rate*(Table1[[#This Row],[Agi]]-ctc_phase_out_begins),0)</f>
        <v>525</v>
      </c>
      <c r="M278" s="1">
        <f>MAX(Table1[[#This Row],[Child Tax Credit]]-Table1[[#This Row],[Child Tax Credit Phase Out]],0)</f>
        <v>4475</v>
      </c>
      <c r="N278" s="1">
        <f>MAX(Table1[[#This Row],[Regular Taxes Owed]]-Table1[[#This Row],[Effective Child Tax Credit]],0)</f>
        <v>6955</v>
      </c>
      <c r="O278" s="1">
        <f>MAX(MIN((Table1[[#This Row],[taxable wages]]-3000)*0.15,1000*num_kids_16_younger),0)</f>
        <v>5000</v>
      </c>
      <c r="P278" s="9">
        <f>IF(Table1[[#This Row],[Effective Child Tax Credit]]&gt;Table1[[#This Row],[Regular Taxes Owed]],Table1[[#This Row],[Additional Child Tax Credit ]]-Table1[[#This Row],[Regular Taxes Owed]],0)</f>
        <v>0</v>
      </c>
      <c r="Q2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8" s="1">
        <f>Table1[[#This Row],[Effective Additional Child Tax Credit]]+Table1[[#This Row],[Eitc]]</f>
        <v>0</v>
      </c>
      <c r="S278" s="9">
        <f>Table1[[#This Row],[Regular Taxes Owed - Effective Child Tax Credit]]-Table1[[#This Row],[Total Credits]]</f>
        <v>6955</v>
      </c>
      <c r="T278" s="9">
        <f>Table1[[#This Row],[taxable wages]]+interest+dividends+short_term_capital_gains+long_term_capital_gains-(charitable_donations+mortgage_interest)</f>
        <v>120500</v>
      </c>
      <c r="U278" s="9">
        <f>MAX(amt_exemption-amt_exemption_phase_out_rate*MAX(Table1[[#This Row],[taxable wages]]-amt_phase_out_begins,0),0)</f>
        <v>83800</v>
      </c>
      <c r="V2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9542</v>
      </c>
      <c r="W278" s="1">
        <f>IF(AND(Table1[[#This Row],[AMT Taxes]]&gt;Table1[[#This Row],[Regular Taxes Owed]],Table1[[#This Row],[AMT Taxes]]&gt;0),Table1[[#This Row],[AMT Taxes]]-Table1[[#This Row],[Regular Taxes Owed]],0)</f>
        <v>0</v>
      </c>
      <c r="X278" s="9">
        <f>Table1[[#This Row],[Extra Taxes From Amt]]+Table1[[#This Row],[Federal Taxes Owed (No AMT)]]</f>
        <v>6955</v>
      </c>
      <c r="Y278" s="9">
        <f>IF(Table1[[#This Row],[taxable wages]]&gt;obamacare_surcharge_amount,obamacare_surcharge_percent*(Table1[[#This Row],[taxable wages]]-obamacare_surcharge_amount),0)</f>
        <v>0</v>
      </c>
      <c r="Z278" s="9">
        <f>Table1[[#This Row],[Federal Taxes Owed (Includes AMT)]]+Table1[[#This Row],[Obamacare surcharge premium]]</f>
        <v>6955</v>
      </c>
      <c r="AA278" s="9">
        <f>Table1[[#This Row],[taxable wages]]-Table1[[#This Row],[Federal Taxes Owed2]]</f>
        <v>113545</v>
      </c>
      <c r="AB278" s="51">
        <f t="shared" si="26"/>
        <v>0.3</v>
      </c>
      <c r="AC278" s="41"/>
      <c r="AD278" s="13"/>
      <c r="AE278" s="13"/>
    </row>
    <row r="279" spans="2:31" x14ac:dyDescent="0.3">
      <c r="B279" s="41">
        <f t="shared" si="27"/>
        <v>121000</v>
      </c>
      <c r="C279" s="1">
        <f>Table1[[#This Row],[taxable wages]]</f>
        <v>121000</v>
      </c>
      <c r="D279" s="1">
        <f>Table1[[#This Row],[taxable wages]]+interest+dividends+short_term_capital_gains+long_term_capital_gains</f>
        <v>121000</v>
      </c>
      <c r="E279" s="1">
        <f>MAX(Table1[[#This Row],[earned income for EITC]:[Agi For Eitc Calc]])</f>
        <v>121000</v>
      </c>
      <c r="F279" s="1">
        <f>Table1[[#This Row],[taxable wages]]+interest+dividends+short_term_capital_gains+long_term_capital_gains-(trad_ira_contributions+MIN(student_loan_interest_cap,student_loan_interest))</f>
        <v>121000</v>
      </c>
      <c r="G279" s="1">
        <f t="shared" si="23"/>
        <v>12600</v>
      </c>
      <c r="H279" s="1">
        <f t="shared" si="24"/>
        <v>28350</v>
      </c>
      <c r="I279" s="1">
        <f>MAX(0,Table1[[#This Row],[Agi]]-Table1[[#This Row],[Exemptions]]-Table1[[#This Row],[Effective Deductions]])</f>
        <v>80050</v>
      </c>
      <c r="J2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11555</v>
      </c>
      <c r="K279" s="1">
        <f t="shared" si="25"/>
        <v>5000</v>
      </c>
      <c r="L279" s="1">
        <f>IF(Table1[[#This Row],[Agi]]&gt;ctc_phase_out_begins,ctc_phase_out_rate*(Table1[[#This Row],[Agi]]-ctc_phase_out_begins),0)</f>
        <v>550</v>
      </c>
      <c r="M279" s="1">
        <f>MAX(Table1[[#This Row],[Child Tax Credit]]-Table1[[#This Row],[Child Tax Credit Phase Out]],0)</f>
        <v>4450</v>
      </c>
      <c r="N279" s="1">
        <f>MAX(Table1[[#This Row],[Regular Taxes Owed]]-Table1[[#This Row],[Effective Child Tax Credit]],0)</f>
        <v>7105</v>
      </c>
      <c r="O279" s="1">
        <f>MAX(MIN((Table1[[#This Row],[taxable wages]]-3000)*0.15,1000*num_kids_16_younger),0)</f>
        <v>5000</v>
      </c>
      <c r="P279" s="9">
        <f>IF(Table1[[#This Row],[Effective Child Tax Credit]]&gt;Table1[[#This Row],[Regular Taxes Owed]],Table1[[#This Row],[Additional Child Tax Credit ]]-Table1[[#This Row],[Regular Taxes Owed]],0)</f>
        <v>0</v>
      </c>
      <c r="Q2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79" s="1">
        <f>Table1[[#This Row],[Effective Additional Child Tax Credit]]+Table1[[#This Row],[Eitc]]</f>
        <v>0</v>
      </c>
      <c r="S279" s="9">
        <f>Table1[[#This Row],[Regular Taxes Owed - Effective Child Tax Credit]]-Table1[[#This Row],[Total Credits]]</f>
        <v>7105</v>
      </c>
      <c r="T279" s="9">
        <f>Table1[[#This Row],[taxable wages]]+interest+dividends+short_term_capital_gains+long_term_capital_gains-(charitable_donations+mortgage_interest)</f>
        <v>121000</v>
      </c>
      <c r="U279" s="9">
        <f>MAX(amt_exemption-amt_exemption_phase_out_rate*MAX(Table1[[#This Row],[taxable wages]]-amt_phase_out_begins,0),0)</f>
        <v>83800</v>
      </c>
      <c r="V2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9672</v>
      </c>
      <c r="W279" s="1">
        <f>IF(AND(Table1[[#This Row],[AMT Taxes]]&gt;Table1[[#This Row],[Regular Taxes Owed]],Table1[[#This Row],[AMT Taxes]]&gt;0),Table1[[#This Row],[AMT Taxes]]-Table1[[#This Row],[Regular Taxes Owed]],0)</f>
        <v>0</v>
      </c>
      <c r="X279" s="9">
        <f>Table1[[#This Row],[Extra Taxes From Amt]]+Table1[[#This Row],[Federal Taxes Owed (No AMT)]]</f>
        <v>7105</v>
      </c>
      <c r="Y279" s="9">
        <f>IF(Table1[[#This Row],[taxable wages]]&gt;obamacare_surcharge_amount,obamacare_surcharge_percent*(Table1[[#This Row],[taxable wages]]-obamacare_surcharge_amount),0)</f>
        <v>0</v>
      </c>
      <c r="Z279" s="9">
        <f>Table1[[#This Row],[Federal Taxes Owed (Includes AMT)]]+Table1[[#This Row],[Obamacare surcharge premium]]</f>
        <v>7105</v>
      </c>
      <c r="AA279" s="9">
        <f>Table1[[#This Row],[taxable wages]]-Table1[[#This Row],[Federal Taxes Owed2]]</f>
        <v>113895</v>
      </c>
      <c r="AB279" s="51">
        <f t="shared" si="26"/>
        <v>0.3</v>
      </c>
      <c r="AC279" s="41"/>
      <c r="AD279" s="13"/>
      <c r="AE279" s="13"/>
    </row>
    <row r="280" spans="2:31" x14ac:dyDescent="0.3">
      <c r="B280" s="41">
        <f t="shared" si="27"/>
        <v>121500</v>
      </c>
      <c r="C280" s="1">
        <f>Table1[[#This Row],[taxable wages]]</f>
        <v>121500</v>
      </c>
      <c r="D280" s="1">
        <f>Table1[[#This Row],[taxable wages]]+interest+dividends+short_term_capital_gains+long_term_capital_gains</f>
        <v>121500</v>
      </c>
      <c r="E280" s="1">
        <f>MAX(Table1[[#This Row],[earned income for EITC]:[Agi For Eitc Calc]])</f>
        <v>121500</v>
      </c>
      <c r="F280" s="1">
        <f>Table1[[#This Row],[taxable wages]]+interest+dividends+short_term_capital_gains+long_term_capital_gains-(trad_ira_contributions+MIN(student_loan_interest_cap,student_loan_interest))</f>
        <v>121500</v>
      </c>
      <c r="G280" s="1">
        <f t="shared" si="23"/>
        <v>12600</v>
      </c>
      <c r="H280" s="1">
        <f t="shared" si="24"/>
        <v>28350</v>
      </c>
      <c r="I280" s="1">
        <f>MAX(0,Table1[[#This Row],[Agi]]-Table1[[#This Row],[Exemptions]]-Table1[[#This Row],[Effective Deductions]])</f>
        <v>80550</v>
      </c>
      <c r="J2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11680</v>
      </c>
      <c r="K280" s="1">
        <f t="shared" si="25"/>
        <v>5000</v>
      </c>
      <c r="L280" s="1">
        <f>IF(Table1[[#This Row],[Agi]]&gt;ctc_phase_out_begins,ctc_phase_out_rate*(Table1[[#This Row],[Agi]]-ctc_phase_out_begins),0)</f>
        <v>575</v>
      </c>
      <c r="M280" s="1">
        <f>MAX(Table1[[#This Row],[Child Tax Credit]]-Table1[[#This Row],[Child Tax Credit Phase Out]],0)</f>
        <v>4425</v>
      </c>
      <c r="N280" s="1">
        <f>MAX(Table1[[#This Row],[Regular Taxes Owed]]-Table1[[#This Row],[Effective Child Tax Credit]],0)</f>
        <v>7255</v>
      </c>
      <c r="O280" s="1">
        <f>MAX(MIN((Table1[[#This Row],[taxable wages]]-3000)*0.15,1000*num_kids_16_younger),0)</f>
        <v>5000</v>
      </c>
      <c r="P280" s="9">
        <f>IF(Table1[[#This Row],[Effective Child Tax Credit]]&gt;Table1[[#This Row],[Regular Taxes Owed]],Table1[[#This Row],[Additional Child Tax Credit ]]-Table1[[#This Row],[Regular Taxes Owed]],0)</f>
        <v>0</v>
      </c>
      <c r="Q2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0" s="1">
        <f>Table1[[#This Row],[Effective Additional Child Tax Credit]]+Table1[[#This Row],[Eitc]]</f>
        <v>0</v>
      </c>
      <c r="S280" s="9">
        <f>Table1[[#This Row],[Regular Taxes Owed - Effective Child Tax Credit]]-Table1[[#This Row],[Total Credits]]</f>
        <v>7255</v>
      </c>
      <c r="T280" s="9">
        <f>Table1[[#This Row],[taxable wages]]+interest+dividends+short_term_capital_gains+long_term_capital_gains-(charitable_donations+mortgage_interest)</f>
        <v>121500</v>
      </c>
      <c r="U280" s="9">
        <f>MAX(amt_exemption-amt_exemption_phase_out_rate*MAX(Table1[[#This Row],[taxable wages]]-amt_phase_out_begins,0),0)</f>
        <v>83800</v>
      </c>
      <c r="V2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9802</v>
      </c>
      <c r="W280" s="1">
        <f>IF(AND(Table1[[#This Row],[AMT Taxes]]&gt;Table1[[#This Row],[Regular Taxes Owed]],Table1[[#This Row],[AMT Taxes]]&gt;0),Table1[[#This Row],[AMT Taxes]]-Table1[[#This Row],[Regular Taxes Owed]],0)</f>
        <v>0</v>
      </c>
      <c r="X280" s="9">
        <f>Table1[[#This Row],[Extra Taxes From Amt]]+Table1[[#This Row],[Federal Taxes Owed (No AMT)]]</f>
        <v>7255</v>
      </c>
      <c r="Y280" s="9">
        <f>IF(Table1[[#This Row],[taxable wages]]&gt;obamacare_surcharge_amount,obamacare_surcharge_percent*(Table1[[#This Row],[taxable wages]]-obamacare_surcharge_amount),0)</f>
        <v>0</v>
      </c>
      <c r="Z280" s="9">
        <f>Table1[[#This Row],[Federal Taxes Owed (Includes AMT)]]+Table1[[#This Row],[Obamacare surcharge premium]]</f>
        <v>7255</v>
      </c>
      <c r="AA280" s="9">
        <f>Table1[[#This Row],[taxable wages]]-Table1[[#This Row],[Federal Taxes Owed2]]</f>
        <v>114245</v>
      </c>
      <c r="AB280" s="51">
        <f t="shared" si="26"/>
        <v>0.3</v>
      </c>
      <c r="AC280" s="41"/>
      <c r="AD280" s="13"/>
      <c r="AE280" s="13"/>
    </row>
    <row r="281" spans="2:31" x14ac:dyDescent="0.3">
      <c r="B281" s="41">
        <f t="shared" si="27"/>
        <v>122000</v>
      </c>
      <c r="C281" s="1">
        <f>Table1[[#This Row],[taxable wages]]</f>
        <v>122000</v>
      </c>
      <c r="D281" s="1">
        <f>Table1[[#This Row],[taxable wages]]+interest+dividends+short_term_capital_gains+long_term_capital_gains</f>
        <v>122000</v>
      </c>
      <c r="E281" s="1">
        <f>MAX(Table1[[#This Row],[earned income for EITC]:[Agi For Eitc Calc]])</f>
        <v>122000</v>
      </c>
      <c r="F281" s="1">
        <f>Table1[[#This Row],[taxable wages]]+interest+dividends+short_term_capital_gains+long_term_capital_gains-(trad_ira_contributions+MIN(student_loan_interest_cap,student_loan_interest))</f>
        <v>122000</v>
      </c>
      <c r="G281" s="1">
        <f t="shared" si="23"/>
        <v>12600</v>
      </c>
      <c r="H281" s="1">
        <f t="shared" si="24"/>
        <v>28350</v>
      </c>
      <c r="I281" s="1">
        <f>MAX(0,Table1[[#This Row],[Agi]]-Table1[[#This Row],[Exemptions]]-Table1[[#This Row],[Effective Deductions]])</f>
        <v>81050</v>
      </c>
      <c r="J2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11805</v>
      </c>
      <c r="K281" s="1">
        <f t="shared" si="25"/>
        <v>5000</v>
      </c>
      <c r="L281" s="1">
        <f>IF(Table1[[#This Row],[Agi]]&gt;ctc_phase_out_begins,ctc_phase_out_rate*(Table1[[#This Row],[Agi]]-ctc_phase_out_begins),0)</f>
        <v>600</v>
      </c>
      <c r="M281" s="1">
        <f>MAX(Table1[[#This Row],[Child Tax Credit]]-Table1[[#This Row],[Child Tax Credit Phase Out]],0)</f>
        <v>4400</v>
      </c>
      <c r="N281" s="1">
        <f>MAX(Table1[[#This Row],[Regular Taxes Owed]]-Table1[[#This Row],[Effective Child Tax Credit]],0)</f>
        <v>7405</v>
      </c>
      <c r="O281" s="1">
        <f>MAX(MIN((Table1[[#This Row],[taxable wages]]-3000)*0.15,1000*num_kids_16_younger),0)</f>
        <v>5000</v>
      </c>
      <c r="P281" s="9">
        <f>IF(Table1[[#This Row],[Effective Child Tax Credit]]&gt;Table1[[#This Row],[Regular Taxes Owed]],Table1[[#This Row],[Additional Child Tax Credit ]]-Table1[[#This Row],[Regular Taxes Owed]],0)</f>
        <v>0</v>
      </c>
      <c r="Q2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1" s="1">
        <f>Table1[[#This Row],[Effective Additional Child Tax Credit]]+Table1[[#This Row],[Eitc]]</f>
        <v>0</v>
      </c>
      <c r="S281" s="9">
        <f>Table1[[#This Row],[Regular Taxes Owed - Effective Child Tax Credit]]-Table1[[#This Row],[Total Credits]]</f>
        <v>7405</v>
      </c>
      <c r="T281" s="9">
        <f>Table1[[#This Row],[taxable wages]]+interest+dividends+short_term_capital_gains+long_term_capital_gains-(charitable_donations+mortgage_interest)</f>
        <v>122000</v>
      </c>
      <c r="U281" s="9">
        <f>MAX(amt_exemption-amt_exemption_phase_out_rate*MAX(Table1[[#This Row],[taxable wages]]-amt_phase_out_begins,0),0)</f>
        <v>83800</v>
      </c>
      <c r="V2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9932</v>
      </c>
      <c r="W281" s="1">
        <f>IF(AND(Table1[[#This Row],[AMT Taxes]]&gt;Table1[[#This Row],[Regular Taxes Owed]],Table1[[#This Row],[AMT Taxes]]&gt;0),Table1[[#This Row],[AMT Taxes]]-Table1[[#This Row],[Regular Taxes Owed]],0)</f>
        <v>0</v>
      </c>
      <c r="X281" s="9">
        <f>Table1[[#This Row],[Extra Taxes From Amt]]+Table1[[#This Row],[Federal Taxes Owed (No AMT)]]</f>
        <v>7405</v>
      </c>
      <c r="Y281" s="9">
        <f>IF(Table1[[#This Row],[taxable wages]]&gt;obamacare_surcharge_amount,obamacare_surcharge_percent*(Table1[[#This Row],[taxable wages]]-obamacare_surcharge_amount),0)</f>
        <v>0</v>
      </c>
      <c r="Z281" s="9">
        <f>Table1[[#This Row],[Federal Taxes Owed (Includes AMT)]]+Table1[[#This Row],[Obamacare surcharge premium]]</f>
        <v>7405</v>
      </c>
      <c r="AA281" s="9">
        <f>Table1[[#This Row],[taxable wages]]-Table1[[#This Row],[Federal Taxes Owed2]]</f>
        <v>114595</v>
      </c>
      <c r="AB281" s="51">
        <f t="shared" si="26"/>
        <v>0.3</v>
      </c>
      <c r="AC281" s="41"/>
      <c r="AD281" s="13"/>
      <c r="AE281" s="13"/>
    </row>
    <row r="282" spans="2:31" x14ac:dyDescent="0.3">
      <c r="B282" s="41">
        <f t="shared" si="27"/>
        <v>122500</v>
      </c>
      <c r="C282" s="1">
        <f>Table1[[#This Row],[taxable wages]]</f>
        <v>122500</v>
      </c>
      <c r="D282" s="1">
        <f>Table1[[#This Row],[taxable wages]]+interest+dividends+short_term_capital_gains+long_term_capital_gains</f>
        <v>122500</v>
      </c>
      <c r="E282" s="1">
        <f>MAX(Table1[[#This Row],[earned income for EITC]:[Agi For Eitc Calc]])</f>
        <v>122500</v>
      </c>
      <c r="F282" s="1">
        <f>Table1[[#This Row],[taxable wages]]+interest+dividends+short_term_capital_gains+long_term_capital_gains-(trad_ira_contributions+MIN(student_loan_interest_cap,student_loan_interest))</f>
        <v>122500</v>
      </c>
      <c r="G282" s="1">
        <f t="shared" si="23"/>
        <v>12600</v>
      </c>
      <c r="H282" s="1">
        <f t="shared" si="24"/>
        <v>28350</v>
      </c>
      <c r="I282" s="1">
        <f>MAX(0,Table1[[#This Row],[Agi]]-Table1[[#This Row],[Exemptions]]-Table1[[#This Row],[Effective Deductions]])</f>
        <v>81550</v>
      </c>
      <c r="J2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11930</v>
      </c>
      <c r="K282" s="1">
        <f t="shared" si="25"/>
        <v>5000</v>
      </c>
      <c r="L282" s="1">
        <f>IF(Table1[[#This Row],[Agi]]&gt;ctc_phase_out_begins,ctc_phase_out_rate*(Table1[[#This Row],[Agi]]-ctc_phase_out_begins),0)</f>
        <v>625</v>
      </c>
      <c r="M282" s="1">
        <f>MAX(Table1[[#This Row],[Child Tax Credit]]-Table1[[#This Row],[Child Tax Credit Phase Out]],0)</f>
        <v>4375</v>
      </c>
      <c r="N282" s="1">
        <f>MAX(Table1[[#This Row],[Regular Taxes Owed]]-Table1[[#This Row],[Effective Child Tax Credit]],0)</f>
        <v>7555</v>
      </c>
      <c r="O282" s="1">
        <f>MAX(MIN((Table1[[#This Row],[taxable wages]]-3000)*0.15,1000*num_kids_16_younger),0)</f>
        <v>5000</v>
      </c>
      <c r="P282" s="9">
        <f>IF(Table1[[#This Row],[Effective Child Tax Credit]]&gt;Table1[[#This Row],[Regular Taxes Owed]],Table1[[#This Row],[Additional Child Tax Credit ]]-Table1[[#This Row],[Regular Taxes Owed]],0)</f>
        <v>0</v>
      </c>
      <c r="Q2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2" s="1">
        <f>Table1[[#This Row],[Effective Additional Child Tax Credit]]+Table1[[#This Row],[Eitc]]</f>
        <v>0</v>
      </c>
      <c r="S282" s="9">
        <f>Table1[[#This Row],[Regular Taxes Owed - Effective Child Tax Credit]]-Table1[[#This Row],[Total Credits]]</f>
        <v>7555</v>
      </c>
      <c r="T282" s="9">
        <f>Table1[[#This Row],[taxable wages]]+interest+dividends+short_term_capital_gains+long_term_capital_gains-(charitable_donations+mortgage_interest)</f>
        <v>122500</v>
      </c>
      <c r="U282" s="9">
        <f>MAX(amt_exemption-amt_exemption_phase_out_rate*MAX(Table1[[#This Row],[taxable wages]]-amt_phase_out_begins,0),0)</f>
        <v>83800</v>
      </c>
      <c r="V2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10062</v>
      </c>
      <c r="W282" s="1">
        <f>IF(AND(Table1[[#This Row],[AMT Taxes]]&gt;Table1[[#This Row],[Regular Taxes Owed]],Table1[[#This Row],[AMT Taxes]]&gt;0),Table1[[#This Row],[AMT Taxes]]-Table1[[#This Row],[Regular Taxes Owed]],0)</f>
        <v>0</v>
      </c>
      <c r="X282" s="9">
        <f>Table1[[#This Row],[Extra Taxes From Amt]]+Table1[[#This Row],[Federal Taxes Owed (No AMT)]]</f>
        <v>7555</v>
      </c>
      <c r="Y282" s="9">
        <f>IF(Table1[[#This Row],[taxable wages]]&gt;obamacare_surcharge_amount,obamacare_surcharge_percent*(Table1[[#This Row],[taxable wages]]-obamacare_surcharge_amount),0)</f>
        <v>0</v>
      </c>
      <c r="Z282" s="9">
        <f>Table1[[#This Row],[Federal Taxes Owed (Includes AMT)]]+Table1[[#This Row],[Obamacare surcharge premium]]</f>
        <v>7555</v>
      </c>
      <c r="AA282" s="9">
        <f>Table1[[#This Row],[taxable wages]]-Table1[[#This Row],[Federal Taxes Owed2]]</f>
        <v>114945</v>
      </c>
      <c r="AB282" s="51">
        <f t="shared" si="26"/>
        <v>0.3</v>
      </c>
      <c r="AC282" s="41"/>
      <c r="AD282" s="13"/>
      <c r="AE282" s="13"/>
    </row>
    <row r="283" spans="2:31" x14ac:dyDescent="0.3">
      <c r="B283" s="41">
        <f t="shared" si="27"/>
        <v>123000</v>
      </c>
      <c r="C283" s="1">
        <f>Table1[[#This Row],[taxable wages]]</f>
        <v>123000</v>
      </c>
      <c r="D283" s="1">
        <f>Table1[[#This Row],[taxable wages]]+interest+dividends+short_term_capital_gains+long_term_capital_gains</f>
        <v>123000</v>
      </c>
      <c r="E283" s="1">
        <f>MAX(Table1[[#This Row],[earned income for EITC]:[Agi For Eitc Calc]])</f>
        <v>123000</v>
      </c>
      <c r="F283" s="1">
        <f>Table1[[#This Row],[taxable wages]]+interest+dividends+short_term_capital_gains+long_term_capital_gains-(trad_ira_contributions+MIN(student_loan_interest_cap,student_loan_interest))</f>
        <v>123000</v>
      </c>
      <c r="G283" s="1">
        <f t="shared" si="23"/>
        <v>12600</v>
      </c>
      <c r="H283" s="1">
        <f t="shared" si="24"/>
        <v>28350</v>
      </c>
      <c r="I283" s="1">
        <f>MAX(0,Table1[[#This Row],[Agi]]-Table1[[#This Row],[Exemptions]]-Table1[[#This Row],[Effective Deductions]])</f>
        <v>82050</v>
      </c>
      <c r="J2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12055</v>
      </c>
      <c r="K283" s="1">
        <f t="shared" si="25"/>
        <v>5000</v>
      </c>
      <c r="L283" s="1">
        <f>IF(Table1[[#This Row],[Agi]]&gt;ctc_phase_out_begins,ctc_phase_out_rate*(Table1[[#This Row],[Agi]]-ctc_phase_out_begins),0)</f>
        <v>650</v>
      </c>
      <c r="M283" s="1">
        <f>MAX(Table1[[#This Row],[Child Tax Credit]]-Table1[[#This Row],[Child Tax Credit Phase Out]],0)</f>
        <v>4350</v>
      </c>
      <c r="N283" s="1">
        <f>MAX(Table1[[#This Row],[Regular Taxes Owed]]-Table1[[#This Row],[Effective Child Tax Credit]],0)</f>
        <v>7705</v>
      </c>
      <c r="O283" s="1">
        <f>MAX(MIN((Table1[[#This Row],[taxable wages]]-3000)*0.15,1000*num_kids_16_younger),0)</f>
        <v>5000</v>
      </c>
      <c r="P283" s="9">
        <f>IF(Table1[[#This Row],[Effective Child Tax Credit]]&gt;Table1[[#This Row],[Regular Taxes Owed]],Table1[[#This Row],[Additional Child Tax Credit ]]-Table1[[#This Row],[Regular Taxes Owed]],0)</f>
        <v>0</v>
      </c>
      <c r="Q2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3" s="1">
        <f>Table1[[#This Row],[Effective Additional Child Tax Credit]]+Table1[[#This Row],[Eitc]]</f>
        <v>0</v>
      </c>
      <c r="S283" s="9">
        <f>Table1[[#This Row],[Regular Taxes Owed - Effective Child Tax Credit]]-Table1[[#This Row],[Total Credits]]</f>
        <v>7705</v>
      </c>
      <c r="T283" s="9">
        <f>Table1[[#This Row],[taxable wages]]+interest+dividends+short_term_capital_gains+long_term_capital_gains-(charitable_donations+mortgage_interest)</f>
        <v>123000</v>
      </c>
      <c r="U283" s="9">
        <f>MAX(amt_exemption-amt_exemption_phase_out_rate*MAX(Table1[[#This Row],[taxable wages]]-amt_phase_out_begins,0),0)</f>
        <v>83800</v>
      </c>
      <c r="V2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10192</v>
      </c>
      <c r="W283" s="1">
        <f>IF(AND(Table1[[#This Row],[AMT Taxes]]&gt;Table1[[#This Row],[Regular Taxes Owed]],Table1[[#This Row],[AMT Taxes]]&gt;0),Table1[[#This Row],[AMT Taxes]]-Table1[[#This Row],[Regular Taxes Owed]],0)</f>
        <v>0</v>
      </c>
      <c r="X283" s="9">
        <f>Table1[[#This Row],[Extra Taxes From Amt]]+Table1[[#This Row],[Federal Taxes Owed (No AMT)]]</f>
        <v>7705</v>
      </c>
      <c r="Y283" s="9">
        <f>IF(Table1[[#This Row],[taxable wages]]&gt;obamacare_surcharge_amount,obamacare_surcharge_percent*(Table1[[#This Row],[taxable wages]]-obamacare_surcharge_amount),0)</f>
        <v>0</v>
      </c>
      <c r="Z283" s="9">
        <f>Table1[[#This Row],[Federal Taxes Owed (Includes AMT)]]+Table1[[#This Row],[Obamacare surcharge premium]]</f>
        <v>7705</v>
      </c>
      <c r="AA283" s="9">
        <f>Table1[[#This Row],[taxable wages]]-Table1[[#This Row],[Federal Taxes Owed2]]</f>
        <v>115295</v>
      </c>
      <c r="AB283" s="51">
        <f t="shared" si="26"/>
        <v>0.3</v>
      </c>
      <c r="AC283" s="41"/>
      <c r="AD283" s="13"/>
      <c r="AE283" s="13"/>
    </row>
    <row r="284" spans="2:31" x14ac:dyDescent="0.3">
      <c r="B284" s="41">
        <f t="shared" si="27"/>
        <v>123500</v>
      </c>
      <c r="C284" s="1">
        <f>Table1[[#This Row],[taxable wages]]</f>
        <v>123500</v>
      </c>
      <c r="D284" s="1">
        <f>Table1[[#This Row],[taxable wages]]+interest+dividends+short_term_capital_gains+long_term_capital_gains</f>
        <v>123500</v>
      </c>
      <c r="E284" s="1">
        <f>MAX(Table1[[#This Row],[earned income for EITC]:[Agi For Eitc Calc]])</f>
        <v>123500</v>
      </c>
      <c r="F284" s="1">
        <f>Table1[[#This Row],[taxable wages]]+interest+dividends+short_term_capital_gains+long_term_capital_gains-(trad_ira_contributions+MIN(student_loan_interest_cap,student_loan_interest))</f>
        <v>123500</v>
      </c>
      <c r="G284" s="1">
        <f t="shared" si="23"/>
        <v>12600</v>
      </c>
      <c r="H284" s="1">
        <f t="shared" si="24"/>
        <v>28350</v>
      </c>
      <c r="I284" s="1">
        <f>MAX(0,Table1[[#This Row],[Agi]]-Table1[[#This Row],[Exemptions]]-Table1[[#This Row],[Effective Deductions]])</f>
        <v>82550</v>
      </c>
      <c r="J2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12180</v>
      </c>
      <c r="K284" s="1">
        <f t="shared" si="25"/>
        <v>5000</v>
      </c>
      <c r="L284" s="1">
        <f>IF(Table1[[#This Row],[Agi]]&gt;ctc_phase_out_begins,ctc_phase_out_rate*(Table1[[#This Row],[Agi]]-ctc_phase_out_begins),0)</f>
        <v>675</v>
      </c>
      <c r="M284" s="1">
        <f>MAX(Table1[[#This Row],[Child Tax Credit]]-Table1[[#This Row],[Child Tax Credit Phase Out]],0)</f>
        <v>4325</v>
      </c>
      <c r="N284" s="1">
        <f>MAX(Table1[[#This Row],[Regular Taxes Owed]]-Table1[[#This Row],[Effective Child Tax Credit]],0)</f>
        <v>7855</v>
      </c>
      <c r="O284" s="1">
        <f>MAX(MIN((Table1[[#This Row],[taxable wages]]-3000)*0.15,1000*num_kids_16_younger),0)</f>
        <v>5000</v>
      </c>
      <c r="P284" s="9">
        <f>IF(Table1[[#This Row],[Effective Child Tax Credit]]&gt;Table1[[#This Row],[Regular Taxes Owed]],Table1[[#This Row],[Additional Child Tax Credit ]]-Table1[[#This Row],[Regular Taxes Owed]],0)</f>
        <v>0</v>
      </c>
      <c r="Q2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4" s="1">
        <f>Table1[[#This Row],[Effective Additional Child Tax Credit]]+Table1[[#This Row],[Eitc]]</f>
        <v>0</v>
      </c>
      <c r="S284" s="9">
        <f>Table1[[#This Row],[Regular Taxes Owed - Effective Child Tax Credit]]-Table1[[#This Row],[Total Credits]]</f>
        <v>7855</v>
      </c>
      <c r="T284" s="9">
        <f>Table1[[#This Row],[taxable wages]]+interest+dividends+short_term_capital_gains+long_term_capital_gains-(charitable_donations+mortgage_interest)</f>
        <v>123500</v>
      </c>
      <c r="U284" s="9">
        <f>MAX(amt_exemption-amt_exemption_phase_out_rate*MAX(Table1[[#This Row],[taxable wages]]-amt_phase_out_begins,0),0)</f>
        <v>83800</v>
      </c>
      <c r="V2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10322</v>
      </c>
      <c r="W284" s="1">
        <f>IF(AND(Table1[[#This Row],[AMT Taxes]]&gt;Table1[[#This Row],[Regular Taxes Owed]],Table1[[#This Row],[AMT Taxes]]&gt;0),Table1[[#This Row],[AMT Taxes]]-Table1[[#This Row],[Regular Taxes Owed]],0)</f>
        <v>0</v>
      </c>
      <c r="X284" s="9">
        <f>Table1[[#This Row],[Extra Taxes From Amt]]+Table1[[#This Row],[Federal Taxes Owed (No AMT)]]</f>
        <v>7855</v>
      </c>
      <c r="Y284" s="9">
        <f>IF(Table1[[#This Row],[taxable wages]]&gt;obamacare_surcharge_amount,obamacare_surcharge_percent*(Table1[[#This Row],[taxable wages]]-obamacare_surcharge_amount),0)</f>
        <v>0</v>
      </c>
      <c r="Z284" s="9">
        <f>Table1[[#This Row],[Federal Taxes Owed (Includes AMT)]]+Table1[[#This Row],[Obamacare surcharge premium]]</f>
        <v>7855</v>
      </c>
      <c r="AA284" s="9">
        <f>Table1[[#This Row],[taxable wages]]-Table1[[#This Row],[Federal Taxes Owed2]]</f>
        <v>115645</v>
      </c>
      <c r="AB284" s="51">
        <f t="shared" si="26"/>
        <v>0.3</v>
      </c>
      <c r="AC284" s="41"/>
      <c r="AD284" s="13"/>
      <c r="AE284" s="13"/>
    </row>
    <row r="285" spans="2:31" x14ac:dyDescent="0.3">
      <c r="B285" s="41">
        <f t="shared" si="27"/>
        <v>124000</v>
      </c>
      <c r="C285" s="1">
        <f>Table1[[#This Row],[taxable wages]]</f>
        <v>124000</v>
      </c>
      <c r="D285" s="1">
        <f>Table1[[#This Row],[taxable wages]]+interest+dividends+short_term_capital_gains+long_term_capital_gains</f>
        <v>124000</v>
      </c>
      <c r="E285" s="1">
        <f>MAX(Table1[[#This Row],[earned income for EITC]:[Agi For Eitc Calc]])</f>
        <v>124000</v>
      </c>
      <c r="F285" s="1">
        <f>Table1[[#This Row],[taxable wages]]+interest+dividends+short_term_capital_gains+long_term_capital_gains-(trad_ira_contributions+MIN(student_loan_interest_cap,student_loan_interest))</f>
        <v>124000</v>
      </c>
      <c r="G285" s="1">
        <f t="shared" si="23"/>
        <v>12600</v>
      </c>
      <c r="H285" s="1">
        <f t="shared" si="24"/>
        <v>28350</v>
      </c>
      <c r="I285" s="1">
        <f>MAX(0,Table1[[#This Row],[Agi]]-Table1[[#This Row],[Exemptions]]-Table1[[#This Row],[Effective Deductions]])</f>
        <v>83050</v>
      </c>
      <c r="J2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12305</v>
      </c>
      <c r="K285" s="1">
        <f t="shared" si="25"/>
        <v>5000</v>
      </c>
      <c r="L285" s="1">
        <f>IF(Table1[[#This Row],[Agi]]&gt;ctc_phase_out_begins,ctc_phase_out_rate*(Table1[[#This Row],[Agi]]-ctc_phase_out_begins),0)</f>
        <v>700</v>
      </c>
      <c r="M285" s="1">
        <f>MAX(Table1[[#This Row],[Child Tax Credit]]-Table1[[#This Row],[Child Tax Credit Phase Out]],0)</f>
        <v>4300</v>
      </c>
      <c r="N285" s="1">
        <f>MAX(Table1[[#This Row],[Regular Taxes Owed]]-Table1[[#This Row],[Effective Child Tax Credit]],0)</f>
        <v>8005</v>
      </c>
      <c r="O285" s="1">
        <f>MAX(MIN((Table1[[#This Row],[taxable wages]]-3000)*0.15,1000*num_kids_16_younger),0)</f>
        <v>5000</v>
      </c>
      <c r="P285" s="9">
        <f>IF(Table1[[#This Row],[Effective Child Tax Credit]]&gt;Table1[[#This Row],[Regular Taxes Owed]],Table1[[#This Row],[Additional Child Tax Credit ]]-Table1[[#This Row],[Regular Taxes Owed]],0)</f>
        <v>0</v>
      </c>
      <c r="Q2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5" s="1">
        <f>Table1[[#This Row],[Effective Additional Child Tax Credit]]+Table1[[#This Row],[Eitc]]</f>
        <v>0</v>
      </c>
      <c r="S285" s="9">
        <f>Table1[[#This Row],[Regular Taxes Owed - Effective Child Tax Credit]]-Table1[[#This Row],[Total Credits]]</f>
        <v>8005</v>
      </c>
      <c r="T285" s="9">
        <f>Table1[[#This Row],[taxable wages]]+interest+dividends+short_term_capital_gains+long_term_capital_gains-(charitable_donations+mortgage_interest)</f>
        <v>124000</v>
      </c>
      <c r="U285" s="9">
        <f>MAX(amt_exemption-amt_exemption_phase_out_rate*MAX(Table1[[#This Row],[taxable wages]]-amt_phase_out_begins,0),0)</f>
        <v>83800</v>
      </c>
      <c r="V2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10452</v>
      </c>
      <c r="W285" s="1">
        <f>IF(AND(Table1[[#This Row],[AMT Taxes]]&gt;Table1[[#This Row],[Regular Taxes Owed]],Table1[[#This Row],[AMT Taxes]]&gt;0),Table1[[#This Row],[AMT Taxes]]-Table1[[#This Row],[Regular Taxes Owed]],0)</f>
        <v>0</v>
      </c>
      <c r="X285" s="9">
        <f>Table1[[#This Row],[Extra Taxes From Amt]]+Table1[[#This Row],[Federal Taxes Owed (No AMT)]]</f>
        <v>8005</v>
      </c>
      <c r="Y285" s="9">
        <f>IF(Table1[[#This Row],[taxable wages]]&gt;obamacare_surcharge_amount,obamacare_surcharge_percent*(Table1[[#This Row],[taxable wages]]-obamacare_surcharge_amount),0)</f>
        <v>0</v>
      </c>
      <c r="Z285" s="9">
        <f>Table1[[#This Row],[Federal Taxes Owed (Includes AMT)]]+Table1[[#This Row],[Obamacare surcharge premium]]</f>
        <v>8005</v>
      </c>
      <c r="AA285" s="9">
        <f>Table1[[#This Row],[taxable wages]]-Table1[[#This Row],[Federal Taxes Owed2]]</f>
        <v>115995</v>
      </c>
      <c r="AB285" s="51">
        <f t="shared" si="26"/>
        <v>0.3</v>
      </c>
      <c r="AC285" s="41"/>
      <c r="AD285" s="13"/>
      <c r="AE285" s="13"/>
    </row>
    <row r="286" spans="2:31" x14ac:dyDescent="0.3">
      <c r="B286" s="41">
        <f t="shared" si="27"/>
        <v>124500</v>
      </c>
      <c r="C286" s="1">
        <f>Table1[[#This Row],[taxable wages]]</f>
        <v>124500</v>
      </c>
      <c r="D286" s="1">
        <f>Table1[[#This Row],[taxable wages]]+interest+dividends+short_term_capital_gains+long_term_capital_gains</f>
        <v>124500</v>
      </c>
      <c r="E286" s="1">
        <f>MAX(Table1[[#This Row],[earned income for EITC]:[Agi For Eitc Calc]])</f>
        <v>124500</v>
      </c>
      <c r="F286" s="1">
        <f>Table1[[#This Row],[taxable wages]]+interest+dividends+short_term_capital_gains+long_term_capital_gains-(trad_ira_contributions+MIN(student_loan_interest_cap,student_loan_interest))</f>
        <v>124500</v>
      </c>
      <c r="G286" s="1">
        <f t="shared" si="23"/>
        <v>12600</v>
      </c>
      <c r="H286" s="1">
        <f t="shared" si="24"/>
        <v>28350</v>
      </c>
      <c r="I286" s="1">
        <f>MAX(0,Table1[[#This Row],[Agi]]-Table1[[#This Row],[Exemptions]]-Table1[[#This Row],[Effective Deductions]])</f>
        <v>83550</v>
      </c>
      <c r="J2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12430</v>
      </c>
      <c r="K286" s="1">
        <f t="shared" si="25"/>
        <v>5000</v>
      </c>
      <c r="L286" s="1">
        <f>IF(Table1[[#This Row],[Agi]]&gt;ctc_phase_out_begins,ctc_phase_out_rate*(Table1[[#This Row],[Agi]]-ctc_phase_out_begins),0)</f>
        <v>725</v>
      </c>
      <c r="M286" s="1">
        <f>MAX(Table1[[#This Row],[Child Tax Credit]]-Table1[[#This Row],[Child Tax Credit Phase Out]],0)</f>
        <v>4275</v>
      </c>
      <c r="N286" s="1">
        <f>MAX(Table1[[#This Row],[Regular Taxes Owed]]-Table1[[#This Row],[Effective Child Tax Credit]],0)</f>
        <v>8155</v>
      </c>
      <c r="O286" s="1">
        <f>MAX(MIN((Table1[[#This Row],[taxable wages]]-3000)*0.15,1000*num_kids_16_younger),0)</f>
        <v>5000</v>
      </c>
      <c r="P286" s="9">
        <f>IF(Table1[[#This Row],[Effective Child Tax Credit]]&gt;Table1[[#This Row],[Regular Taxes Owed]],Table1[[#This Row],[Additional Child Tax Credit ]]-Table1[[#This Row],[Regular Taxes Owed]],0)</f>
        <v>0</v>
      </c>
      <c r="Q2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6" s="1">
        <f>Table1[[#This Row],[Effective Additional Child Tax Credit]]+Table1[[#This Row],[Eitc]]</f>
        <v>0</v>
      </c>
      <c r="S286" s="9">
        <f>Table1[[#This Row],[Regular Taxes Owed - Effective Child Tax Credit]]-Table1[[#This Row],[Total Credits]]</f>
        <v>8155</v>
      </c>
      <c r="T286" s="9">
        <f>Table1[[#This Row],[taxable wages]]+interest+dividends+short_term_capital_gains+long_term_capital_gains-(charitable_donations+mortgage_interest)</f>
        <v>124500</v>
      </c>
      <c r="U286" s="9">
        <f>MAX(amt_exemption-amt_exemption_phase_out_rate*MAX(Table1[[#This Row],[taxable wages]]-amt_phase_out_begins,0),0)</f>
        <v>83800</v>
      </c>
      <c r="V2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10582</v>
      </c>
      <c r="W286" s="1">
        <f>IF(AND(Table1[[#This Row],[AMT Taxes]]&gt;Table1[[#This Row],[Regular Taxes Owed]],Table1[[#This Row],[AMT Taxes]]&gt;0),Table1[[#This Row],[AMT Taxes]]-Table1[[#This Row],[Regular Taxes Owed]],0)</f>
        <v>0</v>
      </c>
      <c r="X286" s="9">
        <f>Table1[[#This Row],[Extra Taxes From Amt]]+Table1[[#This Row],[Federal Taxes Owed (No AMT)]]</f>
        <v>8155</v>
      </c>
      <c r="Y286" s="9">
        <f>IF(Table1[[#This Row],[taxable wages]]&gt;obamacare_surcharge_amount,obamacare_surcharge_percent*(Table1[[#This Row],[taxable wages]]-obamacare_surcharge_amount),0)</f>
        <v>0</v>
      </c>
      <c r="Z286" s="9">
        <f>Table1[[#This Row],[Federal Taxes Owed (Includes AMT)]]+Table1[[#This Row],[Obamacare surcharge premium]]</f>
        <v>8155</v>
      </c>
      <c r="AA286" s="9">
        <f>Table1[[#This Row],[taxable wages]]-Table1[[#This Row],[Federal Taxes Owed2]]</f>
        <v>116345</v>
      </c>
      <c r="AB286" s="51">
        <f t="shared" si="26"/>
        <v>0.3</v>
      </c>
      <c r="AC286" s="41"/>
      <c r="AD286" s="13"/>
      <c r="AE286" s="13"/>
    </row>
    <row r="287" spans="2:31" x14ac:dyDescent="0.3">
      <c r="B287" s="41">
        <f t="shared" si="27"/>
        <v>125000</v>
      </c>
      <c r="C287" s="1">
        <f>Table1[[#This Row],[taxable wages]]</f>
        <v>125000</v>
      </c>
      <c r="D287" s="1">
        <f>Table1[[#This Row],[taxable wages]]+interest+dividends+short_term_capital_gains+long_term_capital_gains</f>
        <v>125000</v>
      </c>
      <c r="E287" s="1">
        <f>MAX(Table1[[#This Row],[earned income for EITC]:[Agi For Eitc Calc]])</f>
        <v>125000</v>
      </c>
      <c r="F287" s="1">
        <f>Table1[[#This Row],[taxable wages]]+interest+dividends+short_term_capital_gains+long_term_capital_gains-(trad_ira_contributions+MIN(student_loan_interest_cap,student_loan_interest))</f>
        <v>125000</v>
      </c>
      <c r="G287" s="1">
        <f t="shared" si="23"/>
        <v>12600</v>
      </c>
      <c r="H287" s="1">
        <f t="shared" si="24"/>
        <v>28350</v>
      </c>
      <c r="I287" s="1">
        <f>MAX(0,Table1[[#This Row],[Agi]]-Table1[[#This Row],[Exemptions]]-Table1[[#This Row],[Effective Deductions]])</f>
        <v>84050</v>
      </c>
      <c r="J2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12555</v>
      </c>
      <c r="K287" s="1">
        <f t="shared" si="25"/>
        <v>5000</v>
      </c>
      <c r="L287" s="1">
        <f>IF(Table1[[#This Row],[Agi]]&gt;ctc_phase_out_begins,ctc_phase_out_rate*(Table1[[#This Row],[Agi]]-ctc_phase_out_begins),0)</f>
        <v>750</v>
      </c>
      <c r="M287" s="1">
        <f>MAX(Table1[[#This Row],[Child Tax Credit]]-Table1[[#This Row],[Child Tax Credit Phase Out]],0)</f>
        <v>4250</v>
      </c>
      <c r="N287" s="1">
        <f>MAX(Table1[[#This Row],[Regular Taxes Owed]]-Table1[[#This Row],[Effective Child Tax Credit]],0)</f>
        <v>8305</v>
      </c>
      <c r="O287" s="1">
        <f>MAX(MIN((Table1[[#This Row],[taxable wages]]-3000)*0.15,1000*num_kids_16_younger),0)</f>
        <v>5000</v>
      </c>
      <c r="P287" s="9">
        <f>IF(Table1[[#This Row],[Effective Child Tax Credit]]&gt;Table1[[#This Row],[Regular Taxes Owed]],Table1[[#This Row],[Additional Child Tax Credit ]]-Table1[[#This Row],[Regular Taxes Owed]],0)</f>
        <v>0</v>
      </c>
      <c r="Q2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7" s="1">
        <f>Table1[[#This Row],[Effective Additional Child Tax Credit]]+Table1[[#This Row],[Eitc]]</f>
        <v>0</v>
      </c>
      <c r="S287" s="9">
        <f>Table1[[#This Row],[Regular Taxes Owed - Effective Child Tax Credit]]-Table1[[#This Row],[Total Credits]]</f>
        <v>8305</v>
      </c>
      <c r="T287" s="9">
        <f>Table1[[#This Row],[taxable wages]]+interest+dividends+short_term_capital_gains+long_term_capital_gains-(charitable_donations+mortgage_interest)</f>
        <v>125000</v>
      </c>
      <c r="U287" s="9">
        <f>MAX(amt_exemption-amt_exemption_phase_out_rate*MAX(Table1[[#This Row],[taxable wages]]-amt_phase_out_begins,0),0)</f>
        <v>83800</v>
      </c>
      <c r="V2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10712</v>
      </c>
      <c r="W287" s="1">
        <f>IF(AND(Table1[[#This Row],[AMT Taxes]]&gt;Table1[[#This Row],[Regular Taxes Owed]],Table1[[#This Row],[AMT Taxes]]&gt;0),Table1[[#This Row],[AMT Taxes]]-Table1[[#This Row],[Regular Taxes Owed]],0)</f>
        <v>0</v>
      </c>
      <c r="X287" s="9">
        <f>Table1[[#This Row],[Extra Taxes From Amt]]+Table1[[#This Row],[Federal Taxes Owed (No AMT)]]</f>
        <v>8305</v>
      </c>
      <c r="Y287" s="9">
        <f>IF(Table1[[#This Row],[taxable wages]]&gt;obamacare_surcharge_amount,obamacare_surcharge_percent*(Table1[[#This Row],[taxable wages]]-obamacare_surcharge_amount),0)</f>
        <v>0</v>
      </c>
      <c r="Z287" s="9">
        <f>Table1[[#This Row],[Federal Taxes Owed (Includes AMT)]]+Table1[[#This Row],[Obamacare surcharge premium]]</f>
        <v>8305</v>
      </c>
      <c r="AA287" s="9">
        <f>Table1[[#This Row],[taxable wages]]-Table1[[#This Row],[Federal Taxes Owed2]]</f>
        <v>116695</v>
      </c>
      <c r="AB287" s="51">
        <f t="shared" si="26"/>
        <v>0.3</v>
      </c>
      <c r="AC287" s="41"/>
      <c r="AD287" s="13"/>
      <c r="AE287" s="13"/>
    </row>
    <row r="288" spans="2:31" x14ac:dyDescent="0.3">
      <c r="B288" s="41">
        <f t="shared" si="27"/>
        <v>125500</v>
      </c>
      <c r="C288" s="1">
        <f>Table1[[#This Row],[taxable wages]]</f>
        <v>125500</v>
      </c>
      <c r="D288" s="1">
        <f>Table1[[#This Row],[taxable wages]]+interest+dividends+short_term_capital_gains+long_term_capital_gains</f>
        <v>125500</v>
      </c>
      <c r="E288" s="1">
        <f>MAX(Table1[[#This Row],[earned income for EITC]:[Agi For Eitc Calc]])</f>
        <v>125500</v>
      </c>
      <c r="F288" s="1">
        <f>Table1[[#This Row],[taxable wages]]+interest+dividends+short_term_capital_gains+long_term_capital_gains-(trad_ira_contributions+MIN(student_loan_interest_cap,student_loan_interest))</f>
        <v>125500</v>
      </c>
      <c r="G288" s="1">
        <f t="shared" si="23"/>
        <v>12600</v>
      </c>
      <c r="H288" s="1">
        <f t="shared" si="24"/>
        <v>28350</v>
      </c>
      <c r="I288" s="1">
        <f>MAX(0,Table1[[#This Row],[Agi]]-Table1[[#This Row],[Exemptions]]-Table1[[#This Row],[Effective Deductions]])</f>
        <v>84550</v>
      </c>
      <c r="J2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12680</v>
      </c>
      <c r="K288" s="1">
        <f t="shared" si="25"/>
        <v>5000</v>
      </c>
      <c r="L288" s="1">
        <f>IF(Table1[[#This Row],[Agi]]&gt;ctc_phase_out_begins,ctc_phase_out_rate*(Table1[[#This Row],[Agi]]-ctc_phase_out_begins),0)</f>
        <v>775</v>
      </c>
      <c r="M288" s="1">
        <f>MAX(Table1[[#This Row],[Child Tax Credit]]-Table1[[#This Row],[Child Tax Credit Phase Out]],0)</f>
        <v>4225</v>
      </c>
      <c r="N288" s="1">
        <f>MAX(Table1[[#This Row],[Regular Taxes Owed]]-Table1[[#This Row],[Effective Child Tax Credit]],0)</f>
        <v>8455</v>
      </c>
      <c r="O288" s="1">
        <f>MAX(MIN((Table1[[#This Row],[taxable wages]]-3000)*0.15,1000*num_kids_16_younger),0)</f>
        <v>5000</v>
      </c>
      <c r="P288" s="9">
        <f>IF(Table1[[#This Row],[Effective Child Tax Credit]]&gt;Table1[[#This Row],[Regular Taxes Owed]],Table1[[#This Row],[Additional Child Tax Credit ]]-Table1[[#This Row],[Regular Taxes Owed]],0)</f>
        <v>0</v>
      </c>
      <c r="Q2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8" s="1">
        <f>Table1[[#This Row],[Effective Additional Child Tax Credit]]+Table1[[#This Row],[Eitc]]</f>
        <v>0</v>
      </c>
      <c r="S288" s="9">
        <f>Table1[[#This Row],[Regular Taxes Owed - Effective Child Tax Credit]]-Table1[[#This Row],[Total Credits]]</f>
        <v>8455</v>
      </c>
      <c r="T288" s="9">
        <f>Table1[[#This Row],[taxable wages]]+interest+dividends+short_term_capital_gains+long_term_capital_gains-(charitable_donations+mortgage_interest)</f>
        <v>125500</v>
      </c>
      <c r="U288" s="9">
        <f>MAX(amt_exemption-amt_exemption_phase_out_rate*MAX(Table1[[#This Row],[taxable wages]]-amt_phase_out_begins,0),0)</f>
        <v>83800</v>
      </c>
      <c r="V2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10842</v>
      </c>
      <c r="W288" s="1">
        <f>IF(AND(Table1[[#This Row],[AMT Taxes]]&gt;Table1[[#This Row],[Regular Taxes Owed]],Table1[[#This Row],[AMT Taxes]]&gt;0),Table1[[#This Row],[AMT Taxes]]-Table1[[#This Row],[Regular Taxes Owed]],0)</f>
        <v>0</v>
      </c>
      <c r="X288" s="9">
        <f>Table1[[#This Row],[Extra Taxes From Amt]]+Table1[[#This Row],[Federal Taxes Owed (No AMT)]]</f>
        <v>8455</v>
      </c>
      <c r="Y288" s="9">
        <f>IF(Table1[[#This Row],[taxable wages]]&gt;obamacare_surcharge_amount,obamacare_surcharge_percent*(Table1[[#This Row],[taxable wages]]-obamacare_surcharge_amount),0)</f>
        <v>0</v>
      </c>
      <c r="Z288" s="9">
        <f>Table1[[#This Row],[Federal Taxes Owed (Includes AMT)]]+Table1[[#This Row],[Obamacare surcharge premium]]</f>
        <v>8455</v>
      </c>
      <c r="AA288" s="9">
        <f>Table1[[#This Row],[taxable wages]]-Table1[[#This Row],[Federal Taxes Owed2]]</f>
        <v>117045</v>
      </c>
      <c r="AB288" s="51">
        <f t="shared" si="26"/>
        <v>0.3</v>
      </c>
      <c r="AC288" s="41"/>
      <c r="AD288" s="13"/>
      <c r="AE288" s="13"/>
    </row>
    <row r="289" spans="2:31" x14ac:dyDescent="0.3">
      <c r="B289" s="41">
        <f t="shared" si="27"/>
        <v>126000</v>
      </c>
      <c r="C289" s="1">
        <f>Table1[[#This Row],[taxable wages]]</f>
        <v>126000</v>
      </c>
      <c r="D289" s="1">
        <f>Table1[[#This Row],[taxable wages]]+interest+dividends+short_term_capital_gains+long_term_capital_gains</f>
        <v>126000</v>
      </c>
      <c r="E289" s="1">
        <f>MAX(Table1[[#This Row],[earned income for EITC]:[Agi For Eitc Calc]])</f>
        <v>126000</v>
      </c>
      <c r="F289" s="1">
        <f>Table1[[#This Row],[taxable wages]]+interest+dividends+short_term_capital_gains+long_term_capital_gains-(trad_ira_contributions+MIN(student_loan_interest_cap,student_loan_interest))</f>
        <v>126000</v>
      </c>
      <c r="G289" s="1">
        <f t="shared" si="23"/>
        <v>12600</v>
      </c>
      <c r="H289" s="1">
        <f t="shared" si="24"/>
        <v>28350</v>
      </c>
      <c r="I289" s="1">
        <f>MAX(0,Table1[[#This Row],[Agi]]-Table1[[#This Row],[Exemptions]]-Table1[[#This Row],[Effective Deductions]])</f>
        <v>85050</v>
      </c>
      <c r="J2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12805</v>
      </c>
      <c r="K289" s="1">
        <f t="shared" si="25"/>
        <v>5000</v>
      </c>
      <c r="L289" s="1">
        <f>IF(Table1[[#This Row],[Agi]]&gt;ctc_phase_out_begins,ctc_phase_out_rate*(Table1[[#This Row],[Agi]]-ctc_phase_out_begins),0)</f>
        <v>800</v>
      </c>
      <c r="M289" s="1">
        <f>MAX(Table1[[#This Row],[Child Tax Credit]]-Table1[[#This Row],[Child Tax Credit Phase Out]],0)</f>
        <v>4200</v>
      </c>
      <c r="N289" s="1">
        <f>MAX(Table1[[#This Row],[Regular Taxes Owed]]-Table1[[#This Row],[Effective Child Tax Credit]],0)</f>
        <v>8605</v>
      </c>
      <c r="O289" s="1">
        <f>MAX(MIN((Table1[[#This Row],[taxable wages]]-3000)*0.15,1000*num_kids_16_younger),0)</f>
        <v>5000</v>
      </c>
      <c r="P289" s="9">
        <f>IF(Table1[[#This Row],[Effective Child Tax Credit]]&gt;Table1[[#This Row],[Regular Taxes Owed]],Table1[[#This Row],[Additional Child Tax Credit ]]-Table1[[#This Row],[Regular Taxes Owed]],0)</f>
        <v>0</v>
      </c>
      <c r="Q2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89" s="1">
        <f>Table1[[#This Row],[Effective Additional Child Tax Credit]]+Table1[[#This Row],[Eitc]]</f>
        <v>0</v>
      </c>
      <c r="S289" s="9">
        <f>Table1[[#This Row],[Regular Taxes Owed - Effective Child Tax Credit]]-Table1[[#This Row],[Total Credits]]</f>
        <v>8605</v>
      </c>
      <c r="T289" s="9">
        <f>Table1[[#This Row],[taxable wages]]+interest+dividends+short_term_capital_gains+long_term_capital_gains-(charitable_donations+mortgage_interest)</f>
        <v>126000</v>
      </c>
      <c r="U289" s="9">
        <f>MAX(amt_exemption-amt_exemption_phase_out_rate*MAX(Table1[[#This Row],[taxable wages]]-amt_phase_out_begins,0),0)</f>
        <v>83800</v>
      </c>
      <c r="V2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10972</v>
      </c>
      <c r="W289" s="1">
        <f>IF(AND(Table1[[#This Row],[AMT Taxes]]&gt;Table1[[#This Row],[Regular Taxes Owed]],Table1[[#This Row],[AMT Taxes]]&gt;0),Table1[[#This Row],[AMT Taxes]]-Table1[[#This Row],[Regular Taxes Owed]],0)</f>
        <v>0</v>
      </c>
      <c r="X289" s="9">
        <f>Table1[[#This Row],[Extra Taxes From Amt]]+Table1[[#This Row],[Federal Taxes Owed (No AMT)]]</f>
        <v>8605</v>
      </c>
      <c r="Y289" s="9">
        <f>IF(Table1[[#This Row],[taxable wages]]&gt;obamacare_surcharge_amount,obamacare_surcharge_percent*(Table1[[#This Row],[taxable wages]]-obamacare_surcharge_amount),0)</f>
        <v>0</v>
      </c>
      <c r="Z289" s="9">
        <f>Table1[[#This Row],[Federal Taxes Owed (Includes AMT)]]+Table1[[#This Row],[Obamacare surcharge premium]]</f>
        <v>8605</v>
      </c>
      <c r="AA289" s="9">
        <f>Table1[[#This Row],[taxable wages]]-Table1[[#This Row],[Federal Taxes Owed2]]</f>
        <v>117395</v>
      </c>
      <c r="AB289" s="51">
        <f t="shared" si="26"/>
        <v>0.3</v>
      </c>
      <c r="AC289" s="41"/>
      <c r="AD289" s="13"/>
      <c r="AE289" s="13"/>
    </row>
    <row r="290" spans="2:31" x14ac:dyDescent="0.3">
      <c r="B290" s="41">
        <f t="shared" si="27"/>
        <v>126500</v>
      </c>
      <c r="C290" s="1">
        <f>Table1[[#This Row],[taxable wages]]</f>
        <v>126500</v>
      </c>
      <c r="D290" s="1">
        <f>Table1[[#This Row],[taxable wages]]+interest+dividends+short_term_capital_gains+long_term_capital_gains</f>
        <v>126500</v>
      </c>
      <c r="E290" s="1">
        <f>MAX(Table1[[#This Row],[earned income for EITC]:[Agi For Eitc Calc]])</f>
        <v>126500</v>
      </c>
      <c r="F290" s="1">
        <f>Table1[[#This Row],[taxable wages]]+interest+dividends+short_term_capital_gains+long_term_capital_gains-(trad_ira_contributions+MIN(student_loan_interest_cap,student_loan_interest))</f>
        <v>126500</v>
      </c>
      <c r="G290" s="1">
        <f t="shared" si="23"/>
        <v>12600</v>
      </c>
      <c r="H290" s="1">
        <f t="shared" si="24"/>
        <v>28350</v>
      </c>
      <c r="I290" s="1">
        <f>MAX(0,Table1[[#This Row],[Agi]]-Table1[[#This Row],[Exemptions]]-Table1[[#This Row],[Effective Deductions]])</f>
        <v>85550</v>
      </c>
      <c r="J2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12930</v>
      </c>
      <c r="K290" s="1">
        <f t="shared" si="25"/>
        <v>5000</v>
      </c>
      <c r="L290" s="1">
        <f>IF(Table1[[#This Row],[Agi]]&gt;ctc_phase_out_begins,ctc_phase_out_rate*(Table1[[#This Row],[Agi]]-ctc_phase_out_begins),0)</f>
        <v>825</v>
      </c>
      <c r="M290" s="1">
        <f>MAX(Table1[[#This Row],[Child Tax Credit]]-Table1[[#This Row],[Child Tax Credit Phase Out]],0)</f>
        <v>4175</v>
      </c>
      <c r="N290" s="1">
        <f>MAX(Table1[[#This Row],[Regular Taxes Owed]]-Table1[[#This Row],[Effective Child Tax Credit]],0)</f>
        <v>8755</v>
      </c>
      <c r="O290" s="1">
        <f>MAX(MIN((Table1[[#This Row],[taxable wages]]-3000)*0.15,1000*num_kids_16_younger),0)</f>
        <v>5000</v>
      </c>
      <c r="P290" s="9">
        <f>IF(Table1[[#This Row],[Effective Child Tax Credit]]&gt;Table1[[#This Row],[Regular Taxes Owed]],Table1[[#This Row],[Additional Child Tax Credit ]]-Table1[[#This Row],[Regular Taxes Owed]],0)</f>
        <v>0</v>
      </c>
      <c r="Q2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0" s="1">
        <f>Table1[[#This Row],[Effective Additional Child Tax Credit]]+Table1[[#This Row],[Eitc]]</f>
        <v>0</v>
      </c>
      <c r="S290" s="9">
        <f>Table1[[#This Row],[Regular Taxes Owed - Effective Child Tax Credit]]-Table1[[#This Row],[Total Credits]]</f>
        <v>8755</v>
      </c>
      <c r="T290" s="9">
        <f>Table1[[#This Row],[taxable wages]]+interest+dividends+short_term_capital_gains+long_term_capital_gains-(charitable_donations+mortgage_interest)</f>
        <v>126500</v>
      </c>
      <c r="U290" s="9">
        <f>MAX(amt_exemption-amt_exemption_phase_out_rate*MAX(Table1[[#This Row],[taxable wages]]-amt_phase_out_begins,0),0)</f>
        <v>83800</v>
      </c>
      <c r="V2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11102</v>
      </c>
      <c r="W290" s="1">
        <f>IF(AND(Table1[[#This Row],[AMT Taxes]]&gt;Table1[[#This Row],[Regular Taxes Owed]],Table1[[#This Row],[AMT Taxes]]&gt;0),Table1[[#This Row],[AMT Taxes]]-Table1[[#This Row],[Regular Taxes Owed]],0)</f>
        <v>0</v>
      </c>
      <c r="X290" s="9">
        <f>Table1[[#This Row],[Extra Taxes From Amt]]+Table1[[#This Row],[Federal Taxes Owed (No AMT)]]</f>
        <v>8755</v>
      </c>
      <c r="Y290" s="9">
        <f>IF(Table1[[#This Row],[taxable wages]]&gt;obamacare_surcharge_amount,obamacare_surcharge_percent*(Table1[[#This Row],[taxable wages]]-obamacare_surcharge_amount),0)</f>
        <v>0</v>
      </c>
      <c r="Z290" s="9">
        <f>Table1[[#This Row],[Federal Taxes Owed (Includes AMT)]]+Table1[[#This Row],[Obamacare surcharge premium]]</f>
        <v>8755</v>
      </c>
      <c r="AA290" s="9">
        <f>Table1[[#This Row],[taxable wages]]-Table1[[#This Row],[Federal Taxes Owed2]]</f>
        <v>117745</v>
      </c>
      <c r="AB290" s="51">
        <f t="shared" si="26"/>
        <v>0.3</v>
      </c>
      <c r="AC290" s="41"/>
      <c r="AD290" s="13"/>
      <c r="AE290" s="13"/>
    </row>
    <row r="291" spans="2:31" x14ac:dyDescent="0.3">
      <c r="B291" s="41">
        <f t="shared" si="27"/>
        <v>127000</v>
      </c>
      <c r="C291" s="1">
        <f>Table1[[#This Row],[taxable wages]]</f>
        <v>127000</v>
      </c>
      <c r="D291" s="1">
        <f>Table1[[#This Row],[taxable wages]]+interest+dividends+short_term_capital_gains+long_term_capital_gains</f>
        <v>127000</v>
      </c>
      <c r="E291" s="1">
        <f>MAX(Table1[[#This Row],[earned income for EITC]:[Agi For Eitc Calc]])</f>
        <v>127000</v>
      </c>
      <c r="F291" s="1">
        <f>Table1[[#This Row],[taxable wages]]+interest+dividends+short_term_capital_gains+long_term_capital_gains-(trad_ira_contributions+MIN(student_loan_interest_cap,student_loan_interest))</f>
        <v>127000</v>
      </c>
      <c r="G291" s="1">
        <f t="shared" si="23"/>
        <v>12600</v>
      </c>
      <c r="H291" s="1">
        <f t="shared" si="24"/>
        <v>28350</v>
      </c>
      <c r="I291" s="1">
        <f>MAX(0,Table1[[#This Row],[Agi]]-Table1[[#This Row],[Exemptions]]-Table1[[#This Row],[Effective Deductions]])</f>
        <v>86050</v>
      </c>
      <c r="J2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13055</v>
      </c>
      <c r="K291" s="1">
        <f t="shared" si="25"/>
        <v>5000</v>
      </c>
      <c r="L291" s="1">
        <f>IF(Table1[[#This Row],[Agi]]&gt;ctc_phase_out_begins,ctc_phase_out_rate*(Table1[[#This Row],[Agi]]-ctc_phase_out_begins),0)</f>
        <v>850</v>
      </c>
      <c r="M291" s="1">
        <f>MAX(Table1[[#This Row],[Child Tax Credit]]-Table1[[#This Row],[Child Tax Credit Phase Out]],0)</f>
        <v>4150</v>
      </c>
      <c r="N291" s="1">
        <f>MAX(Table1[[#This Row],[Regular Taxes Owed]]-Table1[[#This Row],[Effective Child Tax Credit]],0)</f>
        <v>8905</v>
      </c>
      <c r="O291" s="1">
        <f>MAX(MIN((Table1[[#This Row],[taxable wages]]-3000)*0.15,1000*num_kids_16_younger),0)</f>
        <v>5000</v>
      </c>
      <c r="P291" s="9">
        <f>IF(Table1[[#This Row],[Effective Child Tax Credit]]&gt;Table1[[#This Row],[Regular Taxes Owed]],Table1[[#This Row],[Additional Child Tax Credit ]]-Table1[[#This Row],[Regular Taxes Owed]],0)</f>
        <v>0</v>
      </c>
      <c r="Q2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1" s="1">
        <f>Table1[[#This Row],[Effective Additional Child Tax Credit]]+Table1[[#This Row],[Eitc]]</f>
        <v>0</v>
      </c>
      <c r="S291" s="9">
        <f>Table1[[#This Row],[Regular Taxes Owed - Effective Child Tax Credit]]-Table1[[#This Row],[Total Credits]]</f>
        <v>8905</v>
      </c>
      <c r="T291" s="9">
        <f>Table1[[#This Row],[taxable wages]]+interest+dividends+short_term_capital_gains+long_term_capital_gains-(charitable_donations+mortgage_interest)</f>
        <v>127000</v>
      </c>
      <c r="U291" s="9">
        <f>MAX(amt_exemption-amt_exemption_phase_out_rate*MAX(Table1[[#This Row],[taxable wages]]-amt_phase_out_begins,0),0)</f>
        <v>83800</v>
      </c>
      <c r="V2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11232</v>
      </c>
      <c r="W291" s="1">
        <f>IF(AND(Table1[[#This Row],[AMT Taxes]]&gt;Table1[[#This Row],[Regular Taxes Owed]],Table1[[#This Row],[AMT Taxes]]&gt;0),Table1[[#This Row],[AMT Taxes]]-Table1[[#This Row],[Regular Taxes Owed]],0)</f>
        <v>0</v>
      </c>
      <c r="X291" s="9">
        <f>Table1[[#This Row],[Extra Taxes From Amt]]+Table1[[#This Row],[Federal Taxes Owed (No AMT)]]</f>
        <v>8905</v>
      </c>
      <c r="Y291" s="9">
        <f>IF(Table1[[#This Row],[taxable wages]]&gt;obamacare_surcharge_amount,obamacare_surcharge_percent*(Table1[[#This Row],[taxable wages]]-obamacare_surcharge_amount),0)</f>
        <v>0</v>
      </c>
      <c r="Z291" s="9">
        <f>Table1[[#This Row],[Federal Taxes Owed (Includes AMT)]]+Table1[[#This Row],[Obamacare surcharge premium]]</f>
        <v>8905</v>
      </c>
      <c r="AA291" s="9">
        <f>Table1[[#This Row],[taxable wages]]-Table1[[#This Row],[Federal Taxes Owed2]]</f>
        <v>118095</v>
      </c>
      <c r="AB291" s="51">
        <f t="shared" si="26"/>
        <v>0.3</v>
      </c>
      <c r="AC291" s="41"/>
      <c r="AD291" s="13"/>
      <c r="AE291" s="13"/>
    </row>
    <row r="292" spans="2:31" x14ac:dyDescent="0.3">
      <c r="B292" s="41">
        <f t="shared" si="27"/>
        <v>127500</v>
      </c>
      <c r="C292" s="1">
        <f>Table1[[#This Row],[taxable wages]]</f>
        <v>127500</v>
      </c>
      <c r="D292" s="1">
        <f>Table1[[#This Row],[taxable wages]]+interest+dividends+short_term_capital_gains+long_term_capital_gains</f>
        <v>127500</v>
      </c>
      <c r="E292" s="1">
        <f>MAX(Table1[[#This Row],[earned income for EITC]:[Agi For Eitc Calc]])</f>
        <v>127500</v>
      </c>
      <c r="F292" s="1">
        <f>Table1[[#This Row],[taxable wages]]+interest+dividends+short_term_capital_gains+long_term_capital_gains-(trad_ira_contributions+MIN(student_loan_interest_cap,student_loan_interest))</f>
        <v>127500</v>
      </c>
      <c r="G292" s="1">
        <f t="shared" si="23"/>
        <v>12600</v>
      </c>
      <c r="H292" s="1">
        <f t="shared" si="24"/>
        <v>28350</v>
      </c>
      <c r="I292" s="1">
        <f>MAX(0,Table1[[#This Row],[Agi]]-Table1[[#This Row],[Exemptions]]-Table1[[#This Row],[Effective Deductions]])</f>
        <v>86550</v>
      </c>
      <c r="J2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13180</v>
      </c>
      <c r="K292" s="1">
        <f t="shared" si="25"/>
        <v>5000</v>
      </c>
      <c r="L292" s="1">
        <f>IF(Table1[[#This Row],[Agi]]&gt;ctc_phase_out_begins,ctc_phase_out_rate*(Table1[[#This Row],[Agi]]-ctc_phase_out_begins),0)</f>
        <v>875</v>
      </c>
      <c r="M292" s="1">
        <f>MAX(Table1[[#This Row],[Child Tax Credit]]-Table1[[#This Row],[Child Tax Credit Phase Out]],0)</f>
        <v>4125</v>
      </c>
      <c r="N292" s="1">
        <f>MAX(Table1[[#This Row],[Regular Taxes Owed]]-Table1[[#This Row],[Effective Child Tax Credit]],0)</f>
        <v>9055</v>
      </c>
      <c r="O292" s="1">
        <f>MAX(MIN((Table1[[#This Row],[taxable wages]]-3000)*0.15,1000*num_kids_16_younger),0)</f>
        <v>5000</v>
      </c>
      <c r="P292" s="9">
        <f>IF(Table1[[#This Row],[Effective Child Tax Credit]]&gt;Table1[[#This Row],[Regular Taxes Owed]],Table1[[#This Row],[Additional Child Tax Credit ]]-Table1[[#This Row],[Regular Taxes Owed]],0)</f>
        <v>0</v>
      </c>
      <c r="Q2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2" s="1">
        <f>Table1[[#This Row],[Effective Additional Child Tax Credit]]+Table1[[#This Row],[Eitc]]</f>
        <v>0</v>
      </c>
      <c r="S292" s="9">
        <f>Table1[[#This Row],[Regular Taxes Owed - Effective Child Tax Credit]]-Table1[[#This Row],[Total Credits]]</f>
        <v>9055</v>
      </c>
      <c r="T292" s="9">
        <f>Table1[[#This Row],[taxable wages]]+interest+dividends+short_term_capital_gains+long_term_capital_gains-(charitable_donations+mortgage_interest)</f>
        <v>127500</v>
      </c>
      <c r="U292" s="9">
        <f>MAX(amt_exemption-amt_exemption_phase_out_rate*MAX(Table1[[#This Row],[taxable wages]]-amt_phase_out_begins,0),0)</f>
        <v>83800</v>
      </c>
      <c r="V2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11362</v>
      </c>
      <c r="W292" s="1">
        <f>IF(AND(Table1[[#This Row],[AMT Taxes]]&gt;Table1[[#This Row],[Regular Taxes Owed]],Table1[[#This Row],[AMT Taxes]]&gt;0),Table1[[#This Row],[AMT Taxes]]-Table1[[#This Row],[Regular Taxes Owed]],0)</f>
        <v>0</v>
      </c>
      <c r="X292" s="9">
        <f>Table1[[#This Row],[Extra Taxes From Amt]]+Table1[[#This Row],[Federal Taxes Owed (No AMT)]]</f>
        <v>9055</v>
      </c>
      <c r="Y292" s="9">
        <f>IF(Table1[[#This Row],[taxable wages]]&gt;obamacare_surcharge_amount,obamacare_surcharge_percent*(Table1[[#This Row],[taxable wages]]-obamacare_surcharge_amount),0)</f>
        <v>0</v>
      </c>
      <c r="Z292" s="9">
        <f>Table1[[#This Row],[Federal Taxes Owed (Includes AMT)]]+Table1[[#This Row],[Obamacare surcharge premium]]</f>
        <v>9055</v>
      </c>
      <c r="AA292" s="9">
        <f>Table1[[#This Row],[taxable wages]]-Table1[[#This Row],[Federal Taxes Owed2]]</f>
        <v>118445</v>
      </c>
      <c r="AB292" s="51">
        <f t="shared" si="26"/>
        <v>0.3</v>
      </c>
      <c r="AC292" s="41"/>
      <c r="AD292" s="13"/>
      <c r="AE292" s="13"/>
    </row>
    <row r="293" spans="2:31" x14ac:dyDescent="0.3">
      <c r="B293" s="41">
        <f t="shared" si="27"/>
        <v>128000</v>
      </c>
      <c r="C293" s="1">
        <f>Table1[[#This Row],[taxable wages]]</f>
        <v>128000</v>
      </c>
      <c r="D293" s="1">
        <f>Table1[[#This Row],[taxable wages]]+interest+dividends+short_term_capital_gains+long_term_capital_gains</f>
        <v>128000</v>
      </c>
      <c r="E293" s="1">
        <f>MAX(Table1[[#This Row],[earned income for EITC]:[Agi For Eitc Calc]])</f>
        <v>128000</v>
      </c>
      <c r="F293" s="1">
        <f>Table1[[#This Row],[taxable wages]]+interest+dividends+short_term_capital_gains+long_term_capital_gains-(trad_ira_contributions+MIN(student_loan_interest_cap,student_loan_interest))</f>
        <v>128000</v>
      </c>
      <c r="G293" s="1">
        <f t="shared" si="23"/>
        <v>12600</v>
      </c>
      <c r="H293" s="1">
        <f t="shared" si="24"/>
        <v>28350</v>
      </c>
      <c r="I293" s="1">
        <f>MAX(0,Table1[[#This Row],[Agi]]-Table1[[#This Row],[Exemptions]]-Table1[[#This Row],[Effective Deductions]])</f>
        <v>87050</v>
      </c>
      <c r="J2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13305</v>
      </c>
      <c r="K293" s="1">
        <f t="shared" si="25"/>
        <v>5000</v>
      </c>
      <c r="L293" s="1">
        <f>IF(Table1[[#This Row],[Agi]]&gt;ctc_phase_out_begins,ctc_phase_out_rate*(Table1[[#This Row],[Agi]]-ctc_phase_out_begins),0)</f>
        <v>900</v>
      </c>
      <c r="M293" s="1">
        <f>MAX(Table1[[#This Row],[Child Tax Credit]]-Table1[[#This Row],[Child Tax Credit Phase Out]],0)</f>
        <v>4100</v>
      </c>
      <c r="N293" s="1">
        <f>MAX(Table1[[#This Row],[Regular Taxes Owed]]-Table1[[#This Row],[Effective Child Tax Credit]],0)</f>
        <v>9205</v>
      </c>
      <c r="O293" s="1">
        <f>MAX(MIN((Table1[[#This Row],[taxable wages]]-3000)*0.15,1000*num_kids_16_younger),0)</f>
        <v>5000</v>
      </c>
      <c r="P293" s="9">
        <f>IF(Table1[[#This Row],[Effective Child Tax Credit]]&gt;Table1[[#This Row],[Regular Taxes Owed]],Table1[[#This Row],[Additional Child Tax Credit ]]-Table1[[#This Row],[Regular Taxes Owed]],0)</f>
        <v>0</v>
      </c>
      <c r="Q2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3" s="1">
        <f>Table1[[#This Row],[Effective Additional Child Tax Credit]]+Table1[[#This Row],[Eitc]]</f>
        <v>0</v>
      </c>
      <c r="S293" s="9">
        <f>Table1[[#This Row],[Regular Taxes Owed - Effective Child Tax Credit]]-Table1[[#This Row],[Total Credits]]</f>
        <v>9205</v>
      </c>
      <c r="T293" s="9">
        <f>Table1[[#This Row],[taxable wages]]+interest+dividends+short_term_capital_gains+long_term_capital_gains-(charitable_donations+mortgage_interest)</f>
        <v>128000</v>
      </c>
      <c r="U293" s="9">
        <f>MAX(amt_exemption-amt_exemption_phase_out_rate*MAX(Table1[[#This Row],[taxable wages]]-amt_phase_out_begins,0),0)</f>
        <v>83800</v>
      </c>
      <c r="V2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11492</v>
      </c>
      <c r="W293" s="1">
        <f>IF(AND(Table1[[#This Row],[AMT Taxes]]&gt;Table1[[#This Row],[Regular Taxes Owed]],Table1[[#This Row],[AMT Taxes]]&gt;0),Table1[[#This Row],[AMT Taxes]]-Table1[[#This Row],[Regular Taxes Owed]],0)</f>
        <v>0</v>
      </c>
      <c r="X293" s="9">
        <f>Table1[[#This Row],[Extra Taxes From Amt]]+Table1[[#This Row],[Federal Taxes Owed (No AMT)]]</f>
        <v>9205</v>
      </c>
      <c r="Y293" s="9">
        <f>IF(Table1[[#This Row],[taxable wages]]&gt;obamacare_surcharge_amount,obamacare_surcharge_percent*(Table1[[#This Row],[taxable wages]]-obamacare_surcharge_amount),0)</f>
        <v>0</v>
      </c>
      <c r="Z293" s="9">
        <f>Table1[[#This Row],[Federal Taxes Owed (Includes AMT)]]+Table1[[#This Row],[Obamacare surcharge premium]]</f>
        <v>9205</v>
      </c>
      <c r="AA293" s="9">
        <f>Table1[[#This Row],[taxable wages]]-Table1[[#This Row],[Federal Taxes Owed2]]</f>
        <v>118795</v>
      </c>
      <c r="AB293" s="51">
        <f t="shared" si="26"/>
        <v>0.3</v>
      </c>
      <c r="AC293" s="41"/>
      <c r="AD293" s="13"/>
      <c r="AE293" s="13"/>
    </row>
    <row r="294" spans="2:31" x14ac:dyDescent="0.3">
      <c r="B294" s="41">
        <f t="shared" si="27"/>
        <v>128500</v>
      </c>
      <c r="C294" s="1">
        <f>Table1[[#This Row],[taxable wages]]</f>
        <v>128500</v>
      </c>
      <c r="D294" s="1">
        <f>Table1[[#This Row],[taxable wages]]+interest+dividends+short_term_capital_gains+long_term_capital_gains</f>
        <v>128500</v>
      </c>
      <c r="E294" s="1">
        <f>MAX(Table1[[#This Row],[earned income for EITC]:[Agi For Eitc Calc]])</f>
        <v>128500</v>
      </c>
      <c r="F294" s="1">
        <f>Table1[[#This Row],[taxable wages]]+interest+dividends+short_term_capital_gains+long_term_capital_gains-(trad_ira_contributions+MIN(student_loan_interest_cap,student_loan_interest))</f>
        <v>128500</v>
      </c>
      <c r="G294" s="1">
        <f t="shared" ref="G294:G357" si="28">MAX(standard_deduction,mortgage_interest+real_estate_property_taxes+state_income_tax_paid+charitable_donations+medical_expenses)</f>
        <v>12600</v>
      </c>
      <c r="H294" s="1">
        <f t="shared" ref="H294:H357" si="29">num_people_in_family*personal_exemption</f>
        <v>28350</v>
      </c>
      <c r="I294" s="1">
        <f>MAX(0,Table1[[#This Row],[Agi]]-Table1[[#This Row],[Exemptions]]-Table1[[#This Row],[Effective Deductions]])</f>
        <v>87550</v>
      </c>
      <c r="J2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13430</v>
      </c>
      <c r="K294" s="1">
        <f t="shared" ref="K294:K357" si="30">child_tax_credit*num_kids_16_younger</f>
        <v>5000</v>
      </c>
      <c r="L294" s="1">
        <f>IF(Table1[[#This Row],[Agi]]&gt;ctc_phase_out_begins,ctc_phase_out_rate*(Table1[[#This Row],[Agi]]-ctc_phase_out_begins),0)</f>
        <v>925</v>
      </c>
      <c r="M294" s="1">
        <f>MAX(Table1[[#This Row],[Child Tax Credit]]-Table1[[#This Row],[Child Tax Credit Phase Out]],0)</f>
        <v>4075</v>
      </c>
      <c r="N294" s="1">
        <f>MAX(Table1[[#This Row],[Regular Taxes Owed]]-Table1[[#This Row],[Effective Child Tax Credit]],0)</f>
        <v>9355</v>
      </c>
      <c r="O294" s="1">
        <f>MAX(MIN((Table1[[#This Row],[taxable wages]]-3000)*0.15,1000*num_kids_16_younger),0)</f>
        <v>5000</v>
      </c>
      <c r="P294" s="9">
        <f>IF(Table1[[#This Row],[Effective Child Tax Credit]]&gt;Table1[[#This Row],[Regular Taxes Owed]],Table1[[#This Row],[Additional Child Tax Credit ]]-Table1[[#This Row],[Regular Taxes Owed]],0)</f>
        <v>0</v>
      </c>
      <c r="Q2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4" s="1">
        <f>Table1[[#This Row],[Effective Additional Child Tax Credit]]+Table1[[#This Row],[Eitc]]</f>
        <v>0</v>
      </c>
      <c r="S294" s="9">
        <f>Table1[[#This Row],[Regular Taxes Owed - Effective Child Tax Credit]]-Table1[[#This Row],[Total Credits]]</f>
        <v>9355</v>
      </c>
      <c r="T294" s="9">
        <f>Table1[[#This Row],[taxable wages]]+interest+dividends+short_term_capital_gains+long_term_capital_gains-(charitable_donations+mortgage_interest)</f>
        <v>128500</v>
      </c>
      <c r="U294" s="9">
        <f>MAX(amt_exemption-amt_exemption_phase_out_rate*MAX(Table1[[#This Row],[taxable wages]]-amt_phase_out_begins,0),0)</f>
        <v>83800</v>
      </c>
      <c r="V2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11622</v>
      </c>
      <c r="W294" s="1">
        <f>IF(AND(Table1[[#This Row],[AMT Taxes]]&gt;Table1[[#This Row],[Regular Taxes Owed]],Table1[[#This Row],[AMT Taxes]]&gt;0),Table1[[#This Row],[AMT Taxes]]-Table1[[#This Row],[Regular Taxes Owed]],0)</f>
        <v>0</v>
      </c>
      <c r="X294" s="9">
        <f>Table1[[#This Row],[Extra Taxes From Amt]]+Table1[[#This Row],[Federal Taxes Owed (No AMT)]]</f>
        <v>9355</v>
      </c>
      <c r="Y294" s="9">
        <f>IF(Table1[[#This Row],[taxable wages]]&gt;obamacare_surcharge_amount,obamacare_surcharge_percent*(Table1[[#This Row],[taxable wages]]-obamacare_surcharge_amount),0)</f>
        <v>0</v>
      </c>
      <c r="Z294" s="9">
        <f>Table1[[#This Row],[Federal Taxes Owed (Includes AMT)]]+Table1[[#This Row],[Obamacare surcharge premium]]</f>
        <v>9355</v>
      </c>
      <c r="AA294" s="9">
        <f>Table1[[#This Row],[taxable wages]]-Table1[[#This Row],[Federal Taxes Owed2]]</f>
        <v>119145</v>
      </c>
      <c r="AB294" s="51">
        <f t="shared" si="26"/>
        <v>0.3</v>
      </c>
      <c r="AC294" s="41"/>
      <c r="AD294" s="13"/>
      <c r="AE294" s="13"/>
    </row>
    <row r="295" spans="2:31" x14ac:dyDescent="0.3">
      <c r="B295" s="41">
        <f t="shared" si="27"/>
        <v>129000</v>
      </c>
      <c r="C295" s="1">
        <f>Table1[[#This Row],[taxable wages]]</f>
        <v>129000</v>
      </c>
      <c r="D295" s="1">
        <f>Table1[[#This Row],[taxable wages]]+interest+dividends+short_term_capital_gains+long_term_capital_gains</f>
        <v>129000</v>
      </c>
      <c r="E295" s="1">
        <f>MAX(Table1[[#This Row],[earned income for EITC]:[Agi For Eitc Calc]])</f>
        <v>129000</v>
      </c>
      <c r="F295" s="1">
        <f>Table1[[#This Row],[taxable wages]]+interest+dividends+short_term_capital_gains+long_term_capital_gains-(trad_ira_contributions+MIN(student_loan_interest_cap,student_loan_interest))</f>
        <v>129000</v>
      </c>
      <c r="G295" s="1">
        <f t="shared" si="28"/>
        <v>12600</v>
      </c>
      <c r="H295" s="1">
        <f t="shared" si="29"/>
        <v>28350</v>
      </c>
      <c r="I295" s="1">
        <f>MAX(0,Table1[[#This Row],[Agi]]-Table1[[#This Row],[Exemptions]]-Table1[[#This Row],[Effective Deductions]])</f>
        <v>88050</v>
      </c>
      <c r="J2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13555</v>
      </c>
      <c r="K295" s="1">
        <f t="shared" si="30"/>
        <v>5000</v>
      </c>
      <c r="L295" s="1">
        <f>IF(Table1[[#This Row],[Agi]]&gt;ctc_phase_out_begins,ctc_phase_out_rate*(Table1[[#This Row],[Agi]]-ctc_phase_out_begins),0)</f>
        <v>950</v>
      </c>
      <c r="M295" s="1">
        <f>MAX(Table1[[#This Row],[Child Tax Credit]]-Table1[[#This Row],[Child Tax Credit Phase Out]],0)</f>
        <v>4050</v>
      </c>
      <c r="N295" s="1">
        <f>MAX(Table1[[#This Row],[Regular Taxes Owed]]-Table1[[#This Row],[Effective Child Tax Credit]],0)</f>
        <v>9505</v>
      </c>
      <c r="O295" s="1">
        <f>MAX(MIN((Table1[[#This Row],[taxable wages]]-3000)*0.15,1000*num_kids_16_younger),0)</f>
        <v>5000</v>
      </c>
      <c r="P295" s="9">
        <f>IF(Table1[[#This Row],[Effective Child Tax Credit]]&gt;Table1[[#This Row],[Regular Taxes Owed]],Table1[[#This Row],[Additional Child Tax Credit ]]-Table1[[#This Row],[Regular Taxes Owed]],0)</f>
        <v>0</v>
      </c>
      <c r="Q2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5" s="1">
        <f>Table1[[#This Row],[Effective Additional Child Tax Credit]]+Table1[[#This Row],[Eitc]]</f>
        <v>0</v>
      </c>
      <c r="S295" s="9">
        <f>Table1[[#This Row],[Regular Taxes Owed - Effective Child Tax Credit]]-Table1[[#This Row],[Total Credits]]</f>
        <v>9505</v>
      </c>
      <c r="T295" s="9">
        <f>Table1[[#This Row],[taxable wages]]+interest+dividends+short_term_capital_gains+long_term_capital_gains-(charitable_donations+mortgage_interest)</f>
        <v>129000</v>
      </c>
      <c r="U295" s="9">
        <f>MAX(amt_exemption-amt_exemption_phase_out_rate*MAX(Table1[[#This Row],[taxable wages]]-amt_phase_out_begins,0),0)</f>
        <v>83800</v>
      </c>
      <c r="V2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11752</v>
      </c>
      <c r="W295" s="1">
        <f>IF(AND(Table1[[#This Row],[AMT Taxes]]&gt;Table1[[#This Row],[Regular Taxes Owed]],Table1[[#This Row],[AMT Taxes]]&gt;0),Table1[[#This Row],[AMT Taxes]]-Table1[[#This Row],[Regular Taxes Owed]],0)</f>
        <v>0</v>
      </c>
      <c r="X295" s="9">
        <f>Table1[[#This Row],[Extra Taxes From Amt]]+Table1[[#This Row],[Federal Taxes Owed (No AMT)]]</f>
        <v>9505</v>
      </c>
      <c r="Y295" s="9">
        <f>IF(Table1[[#This Row],[taxable wages]]&gt;obamacare_surcharge_amount,obamacare_surcharge_percent*(Table1[[#This Row],[taxable wages]]-obamacare_surcharge_amount),0)</f>
        <v>0</v>
      </c>
      <c r="Z295" s="9">
        <f>Table1[[#This Row],[Federal Taxes Owed (Includes AMT)]]+Table1[[#This Row],[Obamacare surcharge premium]]</f>
        <v>9505</v>
      </c>
      <c r="AA295" s="9">
        <f>Table1[[#This Row],[taxable wages]]-Table1[[#This Row],[Federal Taxes Owed2]]</f>
        <v>119495</v>
      </c>
      <c r="AB295" s="51">
        <f t="shared" ref="AB295:AB358" si="31">(Z295-Z294)/(B295-B294)</f>
        <v>0.3</v>
      </c>
      <c r="AC295" s="41"/>
      <c r="AD295" s="13"/>
      <c r="AE295" s="13"/>
    </row>
    <row r="296" spans="2:31" x14ac:dyDescent="0.3">
      <c r="B296" s="41">
        <f t="shared" ref="B296:B359" si="32">B295+500</f>
        <v>129500</v>
      </c>
      <c r="C296" s="1">
        <f>Table1[[#This Row],[taxable wages]]</f>
        <v>129500</v>
      </c>
      <c r="D296" s="1">
        <f>Table1[[#This Row],[taxable wages]]+interest+dividends+short_term_capital_gains+long_term_capital_gains</f>
        <v>129500</v>
      </c>
      <c r="E296" s="1">
        <f>MAX(Table1[[#This Row],[earned income for EITC]:[Agi For Eitc Calc]])</f>
        <v>129500</v>
      </c>
      <c r="F296" s="1">
        <f>Table1[[#This Row],[taxable wages]]+interest+dividends+short_term_capital_gains+long_term_capital_gains-(trad_ira_contributions+MIN(student_loan_interest_cap,student_loan_interest))</f>
        <v>129500</v>
      </c>
      <c r="G296" s="1">
        <f t="shared" si="28"/>
        <v>12600</v>
      </c>
      <c r="H296" s="1">
        <f t="shared" si="29"/>
        <v>28350</v>
      </c>
      <c r="I296" s="1">
        <f>MAX(0,Table1[[#This Row],[Agi]]-Table1[[#This Row],[Exemptions]]-Table1[[#This Row],[Effective Deductions]])</f>
        <v>88550</v>
      </c>
      <c r="J2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13680</v>
      </c>
      <c r="K296" s="1">
        <f t="shared" si="30"/>
        <v>5000</v>
      </c>
      <c r="L296" s="1">
        <f>IF(Table1[[#This Row],[Agi]]&gt;ctc_phase_out_begins,ctc_phase_out_rate*(Table1[[#This Row],[Agi]]-ctc_phase_out_begins),0)</f>
        <v>975</v>
      </c>
      <c r="M296" s="1">
        <f>MAX(Table1[[#This Row],[Child Tax Credit]]-Table1[[#This Row],[Child Tax Credit Phase Out]],0)</f>
        <v>4025</v>
      </c>
      <c r="N296" s="1">
        <f>MAX(Table1[[#This Row],[Regular Taxes Owed]]-Table1[[#This Row],[Effective Child Tax Credit]],0)</f>
        <v>9655</v>
      </c>
      <c r="O296" s="1">
        <f>MAX(MIN((Table1[[#This Row],[taxable wages]]-3000)*0.15,1000*num_kids_16_younger),0)</f>
        <v>5000</v>
      </c>
      <c r="P296" s="9">
        <f>IF(Table1[[#This Row],[Effective Child Tax Credit]]&gt;Table1[[#This Row],[Regular Taxes Owed]],Table1[[#This Row],[Additional Child Tax Credit ]]-Table1[[#This Row],[Regular Taxes Owed]],0)</f>
        <v>0</v>
      </c>
      <c r="Q2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6" s="1">
        <f>Table1[[#This Row],[Effective Additional Child Tax Credit]]+Table1[[#This Row],[Eitc]]</f>
        <v>0</v>
      </c>
      <c r="S296" s="9">
        <f>Table1[[#This Row],[Regular Taxes Owed - Effective Child Tax Credit]]-Table1[[#This Row],[Total Credits]]</f>
        <v>9655</v>
      </c>
      <c r="T296" s="9">
        <f>Table1[[#This Row],[taxable wages]]+interest+dividends+short_term_capital_gains+long_term_capital_gains-(charitable_donations+mortgage_interest)</f>
        <v>129500</v>
      </c>
      <c r="U296" s="9">
        <f>MAX(amt_exemption-amt_exemption_phase_out_rate*MAX(Table1[[#This Row],[taxable wages]]-amt_phase_out_begins,0),0)</f>
        <v>83800</v>
      </c>
      <c r="V2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11882</v>
      </c>
      <c r="W296" s="1">
        <f>IF(AND(Table1[[#This Row],[AMT Taxes]]&gt;Table1[[#This Row],[Regular Taxes Owed]],Table1[[#This Row],[AMT Taxes]]&gt;0),Table1[[#This Row],[AMT Taxes]]-Table1[[#This Row],[Regular Taxes Owed]],0)</f>
        <v>0</v>
      </c>
      <c r="X296" s="9">
        <f>Table1[[#This Row],[Extra Taxes From Amt]]+Table1[[#This Row],[Federal Taxes Owed (No AMT)]]</f>
        <v>9655</v>
      </c>
      <c r="Y296" s="9">
        <f>IF(Table1[[#This Row],[taxable wages]]&gt;obamacare_surcharge_amount,obamacare_surcharge_percent*(Table1[[#This Row],[taxable wages]]-obamacare_surcharge_amount),0)</f>
        <v>0</v>
      </c>
      <c r="Z296" s="9">
        <f>Table1[[#This Row],[Federal Taxes Owed (Includes AMT)]]+Table1[[#This Row],[Obamacare surcharge premium]]</f>
        <v>9655</v>
      </c>
      <c r="AA296" s="9">
        <f>Table1[[#This Row],[taxable wages]]-Table1[[#This Row],[Federal Taxes Owed2]]</f>
        <v>119845</v>
      </c>
      <c r="AB296" s="51">
        <f t="shared" si="31"/>
        <v>0.3</v>
      </c>
      <c r="AC296" s="41"/>
      <c r="AD296" s="13"/>
      <c r="AE296" s="13"/>
    </row>
    <row r="297" spans="2:31" x14ac:dyDescent="0.3">
      <c r="B297" s="41">
        <f t="shared" si="32"/>
        <v>130000</v>
      </c>
      <c r="C297" s="1">
        <f>Table1[[#This Row],[taxable wages]]</f>
        <v>130000</v>
      </c>
      <c r="D297" s="1">
        <f>Table1[[#This Row],[taxable wages]]+interest+dividends+short_term_capital_gains+long_term_capital_gains</f>
        <v>130000</v>
      </c>
      <c r="E297" s="1">
        <f>MAX(Table1[[#This Row],[earned income for EITC]:[Agi For Eitc Calc]])</f>
        <v>130000</v>
      </c>
      <c r="F297" s="1">
        <f>Table1[[#This Row],[taxable wages]]+interest+dividends+short_term_capital_gains+long_term_capital_gains-(trad_ira_contributions+MIN(student_loan_interest_cap,student_loan_interest))</f>
        <v>130000</v>
      </c>
      <c r="G297" s="1">
        <f t="shared" si="28"/>
        <v>12600</v>
      </c>
      <c r="H297" s="1">
        <f t="shared" si="29"/>
        <v>28350</v>
      </c>
      <c r="I297" s="1">
        <f>MAX(0,Table1[[#This Row],[Agi]]-Table1[[#This Row],[Exemptions]]-Table1[[#This Row],[Effective Deductions]])</f>
        <v>89050</v>
      </c>
      <c r="J2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13805</v>
      </c>
      <c r="K297" s="1">
        <f t="shared" si="30"/>
        <v>5000</v>
      </c>
      <c r="L297" s="1">
        <f>IF(Table1[[#This Row],[Agi]]&gt;ctc_phase_out_begins,ctc_phase_out_rate*(Table1[[#This Row],[Agi]]-ctc_phase_out_begins),0)</f>
        <v>1000</v>
      </c>
      <c r="M297" s="1">
        <f>MAX(Table1[[#This Row],[Child Tax Credit]]-Table1[[#This Row],[Child Tax Credit Phase Out]],0)</f>
        <v>4000</v>
      </c>
      <c r="N297" s="1">
        <f>MAX(Table1[[#This Row],[Regular Taxes Owed]]-Table1[[#This Row],[Effective Child Tax Credit]],0)</f>
        <v>9805</v>
      </c>
      <c r="O297" s="1">
        <f>MAX(MIN((Table1[[#This Row],[taxable wages]]-3000)*0.15,1000*num_kids_16_younger),0)</f>
        <v>5000</v>
      </c>
      <c r="P297" s="9">
        <f>IF(Table1[[#This Row],[Effective Child Tax Credit]]&gt;Table1[[#This Row],[Regular Taxes Owed]],Table1[[#This Row],[Additional Child Tax Credit ]]-Table1[[#This Row],[Regular Taxes Owed]],0)</f>
        <v>0</v>
      </c>
      <c r="Q2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7" s="1">
        <f>Table1[[#This Row],[Effective Additional Child Tax Credit]]+Table1[[#This Row],[Eitc]]</f>
        <v>0</v>
      </c>
      <c r="S297" s="9">
        <f>Table1[[#This Row],[Regular Taxes Owed - Effective Child Tax Credit]]-Table1[[#This Row],[Total Credits]]</f>
        <v>9805</v>
      </c>
      <c r="T297" s="9">
        <f>Table1[[#This Row],[taxable wages]]+interest+dividends+short_term_capital_gains+long_term_capital_gains-(charitable_donations+mortgage_interest)</f>
        <v>130000</v>
      </c>
      <c r="U297" s="9">
        <f>MAX(amt_exemption-amt_exemption_phase_out_rate*MAX(Table1[[#This Row],[taxable wages]]-amt_phase_out_begins,0),0)</f>
        <v>83800</v>
      </c>
      <c r="V2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12012</v>
      </c>
      <c r="W297" s="1">
        <f>IF(AND(Table1[[#This Row],[AMT Taxes]]&gt;Table1[[#This Row],[Regular Taxes Owed]],Table1[[#This Row],[AMT Taxes]]&gt;0),Table1[[#This Row],[AMT Taxes]]-Table1[[#This Row],[Regular Taxes Owed]],0)</f>
        <v>0</v>
      </c>
      <c r="X297" s="9">
        <f>Table1[[#This Row],[Extra Taxes From Amt]]+Table1[[#This Row],[Federal Taxes Owed (No AMT)]]</f>
        <v>9805</v>
      </c>
      <c r="Y297" s="9">
        <f>IF(Table1[[#This Row],[taxable wages]]&gt;obamacare_surcharge_amount,obamacare_surcharge_percent*(Table1[[#This Row],[taxable wages]]-obamacare_surcharge_amount),0)</f>
        <v>0</v>
      </c>
      <c r="Z297" s="9">
        <f>Table1[[#This Row],[Federal Taxes Owed (Includes AMT)]]+Table1[[#This Row],[Obamacare surcharge premium]]</f>
        <v>9805</v>
      </c>
      <c r="AA297" s="9">
        <f>Table1[[#This Row],[taxable wages]]-Table1[[#This Row],[Federal Taxes Owed2]]</f>
        <v>120195</v>
      </c>
      <c r="AB297" s="51">
        <f t="shared" si="31"/>
        <v>0.3</v>
      </c>
      <c r="AC297" s="41"/>
      <c r="AD297" s="13"/>
      <c r="AE297" s="13"/>
    </row>
    <row r="298" spans="2:31" x14ac:dyDescent="0.3">
      <c r="B298" s="41">
        <f t="shared" si="32"/>
        <v>130500</v>
      </c>
      <c r="C298" s="1">
        <f>Table1[[#This Row],[taxable wages]]</f>
        <v>130500</v>
      </c>
      <c r="D298" s="1">
        <f>Table1[[#This Row],[taxable wages]]+interest+dividends+short_term_capital_gains+long_term_capital_gains</f>
        <v>130500</v>
      </c>
      <c r="E298" s="1">
        <f>MAX(Table1[[#This Row],[earned income for EITC]:[Agi For Eitc Calc]])</f>
        <v>130500</v>
      </c>
      <c r="F298" s="1">
        <f>Table1[[#This Row],[taxable wages]]+interest+dividends+short_term_capital_gains+long_term_capital_gains-(trad_ira_contributions+MIN(student_loan_interest_cap,student_loan_interest))</f>
        <v>130500</v>
      </c>
      <c r="G298" s="1">
        <f t="shared" si="28"/>
        <v>12600</v>
      </c>
      <c r="H298" s="1">
        <f t="shared" si="29"/>
        <v>28350</v>
      </c>
      <c r="I298" s="1">
        <f>MAX(0,Table1[[#This Row],[Agi]]-Table1[[#This Row],[Exemptions]]-Table1[[#This Row],[Effective Deductions]])</f>
        <v>89550</v>
      </c>
      <c r="J2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13930</v>
      </c>
      <c r="K298" s="1">
        <f t="shared" si="30"/>
        <v>5000</v>
      </c>
      <c r="L298" s="1">
        <f>IF(Table1[[#This Row],[Agi]]&gt;ctc_phase_out_begins,ctc_phase_out_rate*(Table1[[#This Row],[Agi]]-ctc_phase_out_begins),0)</f>
        <v>1025</v>
      </c>
      <c r="M298" s="1">
        <f>MAX(Table1[[#This Row],[Child Tax Credit]]-Table1[[#This Row],[Child Tax Credit Phase Out]],0)</f>
        <v>3975</v>
      </c>
      <c r="N298" s="1">
        <f>MAX(Table1[[#This Row],[Regular Taxes Owed]]-Table1[[#This Row],[Effective Child Tax Credit]],0)</f>
        <v>9955</v>
      </c>
      <c r="O298" s="1">
        <f>MAX(MIN((Table1[[#This Row],[taxable wages]]-3000)*0.15,1000*num_kids_16_younger),0)</f>
        <v>5000</v>
      </c>
      <c r="P298" s="9">
        <f>IF(Table1[[#This Row],[Effective Child Tax Credit]]&gt;Table1[[#This Row],[Regular Taxes Owed]],Table1[[#This Row],[Additional Child Tax Credit ]]-Table1[[#This Row],[Regular Taxes Owed]],0)</f>
        <v>0</v>
      </c>
      <c r="Q2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8" s="1">
        <f>Table1[[#This Row],[Effective Additional Child Tax Credit]]+Table1[[#This Row],[Eitc]]</f>
        <v>0</v>
      </c>
      <c r="S298" s="9">
        <f>Table1[[#This Row],[Regular Taxes Owed - Effective Child Tax Credit]]-Table1[[#This Row],[Total Credits]]</f>
        <v>9955</v>
      </c>
      <c r="T298" s="9">
        <f>Table1[[#This Row],[taxable wages]]+interest+dividends+short_term_capital_gains+long_term_capital_gains-(charitable_donations+mortgage_interest)</f>
        <v>130500</v>
      </c>
      <c r="U298" s="9">
        <f>MAX(amt_exemption-amt_exemption_phase_out_rate*MAX(Table1[[#This Row],[taxable wages]]-amt_phase_out_begins,0),0)</f>
        <v>83800</v>
      </c>
      <c r="V2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12142</v>
      </c>
      <c r="W298" s="1">
        <f>IF(AND(Table1[[#This Row],[AMT Taxes]]&gt;Table1[[#This Row],[Regular Taxes Owed]],Table1[[#This Row],[AMT Taxes]]&gt;0),Table1[[#This Row],[AMT Taxes]]-Table1[[#This Row],[Regular Taxes Owed]],0)</f>
        <v>0</v>
      </c>
      <c r="X298" s="9">
        <f>Table1[[#This Row],[Extra Taxes From Amt]]+Table1[[#This Row],[Federal Taxes Owed (No AMT)]]</f>
        <v>9955</v>
      </c>
      <c r="Y298" s="9">
        <f>IF(Table1[[#This Row],[taxable wages]]&gt;obamacare_surcharge_amount,obamacare_surcharge_percent*(Table1[[#This Row],[taxable wages]]-obamacare_surcharge_amount),0)</f>
        <v>0</v>
      </c>
      <c r="Z298" s="9">
        <f>Table1[[#This Row],[Federal Taxes Owed (Includes AMT)]]+Table1[[#This Row],[Obamacare surcharge premium]]</f>
        <v>9955</v>
      </c>
      <c r="AA298" s="9">
        <f>Table1[[#This Row],[taxable wages]]-Table1[[#This Row],[Federal Taxes Owed2]]</f>
        <v>120545</v>
      </c>
      <c r="AB298" s="51">
        <f t="shared" si="31"/>
        <v>0.3</v>
      </c>
      <c r="AC298" s="41"/>
      <c r="AD298" s="13"/>
      <c r="AE298" s="13"/>
    </row>
    <row r="299" spans="2:31" x14ac:dyDescent="0.3">
      <c r="B299" s="41">
        <f t="shared" si="32"/>
        <v>131000</v>
      </c>
      <c r="C299" s="1">
        <f>Table1[[#This Row],[taxable wages]]</f>
        <v>131000</v>
      </c>
      <c r="D299" s="1">
        <f>Table1[[#This Row],[taxable wages]]+interest+dividends+short_term_capital_gains+long_term_capital_gains</f>
        <v>131000</v>
      </c>
      <c r="E299" s="1">
        <f>MAX(Table1[[#This Row],[earned income for EITC]:[Agi For Eitc Calc]])</f>
        <v>131000</v>
      </c>
      <c r="F299" s="1">
        <f>Table1[[#This Row],[taxable wages]]+interest+dividends+short_term_capital_gains+long_term_capital_gains-(trad_ira_contributions+MIN(student_loan_interest_cap,student_loan_interest))</f>
        <v>131000</v>
      </c>
      <c r="G299" s="1">
        <f t="shared" si="28"/>
        <v>12600</v>
      </c>
      <c r="H299" s="1">
        <f t="shared" si="29"/>
        <v>28350</v>
      </c>
      <c r="I299" s="1">
        <f>MAX(0,Table1[[#This Row],[Agi]]-Table1[[#This Row],[Exemptions]]-Table1[[#This Row],[Effective Deductions]])</f>
        <v>90050</v>
      </c>
      <c r="J2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14055</v>
      </c>
      <c r="K299" s="1">
        <f t="shared" si="30"/>
        <v>5000</v>
      </c>
      <c r="L299" s="1">
        <f>IF(Table1[[#This Row],[Agi]]&gt;ctc_phase_out_begins,ctc_phase_out_rate*(Table1[[#This Row],[Agi]]-ctc_phase_out_begins),0)</f>
        <v>1050</v>
      </c>
      <c r="M299" s="1">
        <f>MAX(Table1[[#This Row],[Child Tax Credit]]-Table1[[#This Row],[Child Tax Credit Phase Out]],0)</f>
        <v>3950</v>
      </c>
      <c r="N299" s="1">
        <f>MAX(Table1[[#This Row],[Regular Taxes Owed]]-Table1[[#This Row],[Effective Child Tax Credit]],0)</f>
        <v>10105</v>
      </c>
      <c r="O299" s="1">
        <f>MAX(MIN((Table1[[#This Row],[taxable wages]]-3000)*0.15,1000*num_kids_16_younger),0)</f>
        <v>5000</v>
      </c>
      <c r="P299" s="9">
        <f>IF(Table1[[#This Row],[Effective Child Tax Credit]]&gt;Table1[[#This Row],[Regular Taxes Owed]],Table1[[#This Row],[Additional Child Tax Credit ]]-Table1[[#This Row],[Regular Taxes Owed]],0)</f>
        <v>0</v>
      </c>
      <c r="Q2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299" s="1">
        <f>Table1[[#This Row],[Effective Additional Child Tax Credit]]+Table1[[#This Row],[Eitc]]</f>
        <v>0</v>
      </c>
      <c r="S299" s="9">
        <f>Table1[[#This Row],[Regular Taxes Owed - Effective Child Tax Credit]]-Table1[[#This Row],[Total Credits]]</f>
        <v>10105</v>
      </c>
      <c r="T299" s="9">
        <f>Table1[[#This Row],[taxable wages]]+interest+dividends+short_term_capital_gains+long_term_capital_gains-(charitable_donations+mortgage_interest)</f>
        <v>131000</v>
      </c>
      <c r="U299" s="9">
        <f>MAX(amt_exemption-amt_exemption_phase_out_rate*MAX(Table1[[#This Row],[taxable wages]]-amt_phase_out_begins,0),0)</f>
        <v>83800</v>
      </c>
      <c r="V2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12272</v>
      </c>
      <c r="W299" s="1">
        <f>IF(AND(Table1[[#This Row],[AMT Taxes]]&gt;Table1[[#This Row],[Regular Taxes Owed]],Table1[[#This Row],[AMT Taxes]]&gt;0),Table1[[#This Row],[AMT Taxes]]-Table1[[#This Row],[Regular Taxes Owed]],0)</f>
        <v>0</v>
      </c>
      <c r="X299" s="9">
        <f>Table1[[#This Row],[Extra Taxes From Amt]]+Table1[[#This Row],[Federal Taxes Owed (No AMT)]]</f>
        <v>10105</v>
      </c>
      <c r="Y299" s="9">
        <f>IF(Table1[[#This Row],[taxable wages]]&gt;obamacare_surcharge_amount,obamacare_surcharge_percent*(Table1[[#This Row],[taxable wages]]-obamacare_surcharge_amount),0)</f>
        <v>0</v>
      </c>
      <c r="Z299" s="9">
        <f>Table1[[#This Row],[Federal Taxes Owed (Includes AMT)]]+Table1[[#This Row],[Obamacare surcharge premium]]</f>
        <v>10105</v>
      </c>
      <c r="AA299" s="9">
        <f>Table1[[#This Row],[taxable wages]]-Table1[[#This Row],[Federal Taxes Owed2]]</f>
        <v>120895</v>
      </c>
      <c r="AB299" s="51">
        <f t="shared" si="31"/>
        <v>0.3</v>
      </c>
      <c r="AC299" s="41"/>
      <c r="AD299" s="13"/>
      <c r="AE299" s="13"/>
    </row>
    <row r="300" spans="2:31" x14ac:dyDescent="0.3">
      <c r="B300" s="41">
        <f t="shared" si="32"/>
        <v>131500</v>
      </c>
      <c r="C300" s="1">
        <f>Table1[[#This Row],[taxable wages]]</f>
        <v>131500</v>
      </c>
      <c r="D300" s="1">
        <f>Table1[[#This Row],[taxable wages]]+interest+dividends+short_term_capital_gains+long_term_capital_gains</f>
        <v>131500</v>
      </c>
      <c r="E300" s="1">
        <f>MAX(Table1[[#This Row],[earned income for EITC]:[Agi For Eitc Calc]])</f>
        <v>131500</v>
      </c>
      <c r="F300" s="1">
        <f>Table1[[#This Row],[taxable wages]]+interest+dividends+short_term_capital_gains+long_term_capital_gains-(trad_ira_contributions+MIN(student_loan_interest_cap,student_loan_interest))</f>
        <v>131500</v>
      </c>
      <c r="G300" s="1">
        <f t="shared" si="28"/>
        <v>12600</v>
      </c>
      <c r="H300" s="1">
        <f t="shared" si="29"/>
        <v>28350</v>
      </c>
      <c r="I300" s="1">
        <f>MAX(0,Table1[[#This Row],[Agi]]-Table1[[#This Row],[Exemptions]]-Table1[[#This Row],[Effective Deductions]])</f>
        <v>90550</v>
      </c>
      <c r="J3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14180</v>
      </c>
      <c r="K300" s="1">
        <f t="shared" si="30"/>
        <v>5000</v>
      </c>
      <c r="L300" s="1">
        <f>IF(Table1[[#This Row],[Agi]]&gt;ctc_phase_out_begins,ctc_phase_out_rate*(Table1[[#This Row],[Agi]]-ctc_phase_out_begins),0)</f>
        <v>1075</v>
      </c>
      <c r="M300" s="1">
        <f>MAX(Table1[[#This Row],[Child Tax Credit]]-Table1[[#This Row],[Child Tax Credit Phase Out]],0)</f>
        <v>3925</v>
      </c>
      <c r="N300" s="1">
        <f>MAX(Table1[[#This Row],[Regular Taxes Owed]]-Table1[[#This Row],[Effective Child Tax Credit]],0)</f>
        <v>10255</v>
      </c>
      <c r="O300" s="1">
        <f>MAX(MIN((Table1[[#This Row],[taxable wages]]-3000)*0.15,1000*num_kids_16_younger),0)</f>
        <v>5000</v>
      </c>
      <c r="P300" s="9">
        <f>IF(Table1[[#This Row],[Effective Child Tax Credit]]&gt;Table1[[#This Row],[Regular Taxes Owed]],Table1[[#This Row],[Additional Child Tax Credit ]]-Table1[[#This Row],[Regular Taxes Owed]],0)</f>
        <v>0</v>
      </c>
      <c r="Q3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0" s="1">
        <f>Table1[[#This Row],[Effective Additional Child Tax Credit]]+Table1[[#This Row],[Eitc]]</f>
        <v>0</v>
      </c>
      <c r="S300" s="9">
        <f>Table1[[#This Row],[Regular Taxes Owed - Effective Child Tax Credit]]-Table1[[#This Row],[Total Credits]]</f>
        <v>10255</v>
      </c>
      <c r="T300" s="9">
        <f>Table1[[#This Row],[taxable wages]]+interest+dividends+short_term_capital_gains+long_term_capital_gains-(charitable_donations+mortgage_interest)</f>
        <v>131500</v>
      </c>
      <c r="U300" s="9">
        <f>MAX(amt_exemption-amt_exemption_phase_out_rate*MAX(Table1[[#This Row],[taxable wages]]-amt_phase_out_begins,0),0)</f>
        <v>83800</v>
      </c>
      <c r="V3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12402</v>
      </c>
      <c r="W300" s="1">
        <f>IF(AND(Table1[[#This Row],[AMT Taxes]]&gt;Table1[[#This Row],[Regular Taxes Owed]],Table1[[#This Row],[AMT Taxes]]&gt;0),Table1[[#This Row],[AMT Taxes]]-Table1[[#This Row],[Regular Taxes Owed]],0)</f>
        <v>0</v>
      </c>
      <c r="X300" s="9">
        <f>Table1[[#This Row],[Extra Taxes From Amt]]+Table1[[#This Row],[Federal Taxes Owed (No AMT)]]</f>
        <v>10255</v>
      </c>
      <c r="Y300" s="9">
        <f>IF(Table1[[#This Row],[taxable wages]]&gt;obamacare_surcharge_amount,obamacare_surcharge_percent*(Table1[[#This Row],[taxable wages]]-obamacare_surcharge_amount),0)</f>
        <v>0</v>
      </c>
      <c r="Z300" s="9">
        <f>Table1[[#This Row],[Federal Taxes Owed (Includes AMT)]]+Table1[[#This Row],[Obamacare surcharge premium]]</f>
        <v>10255</v>
      </c>
      <c r="AA300" s="9">
        <f>Table1[[#This Row],[taxable wages]]-Table1[[#This Row],[Federal Taxes Owed2]]</f>
        <v>121245</v>
      </c>
      <c r="AB300" s="51">
        <f t="shared" si="31"/>
        <v>0.3</v>
      </c>
      <c r="AC300" s="41"/>
      <c r="AD300" s="13"/>
      <c r="AE300" s="13"/>
    </row>
    <row r="301" spans="2:31" x14ac:dyDescent="0.3">
      <c r="B301" s="41">
        <f t="shared" si="32"/>
        <v>132000</v>
      </c>
      <c r="C301" s="1">
        <f>Table1[[#This Row],[taxable wages]]</f>
        <v>132000</v>
      </c>
      <c r="D301" s="1">
        <f>Table1[[#This Row],[taxable wages]]+interest+dividends+short_term_capital_gains+long_term_capital_gains</f>
        <v>132000</v>
      </c>
      <c r="E301" s="1">
        <f>MAX(Table1[[#This Row],[earned income for EITC]:[Agi For Eitc Calc]])</f>
        <v>132000</v>
      </c>
      <c r="F301" s="1">
        <f>Table1[[#This Row],[taxable wages]]+interest+dividends+short_term_capital_gains+long_term_capital_gains-(trad_ira_contributions+MIN(student_loan_interest_cap,student_loan_interest))</f>
        <v>132000</v>
      </c>
      <c r="G301" s="1">
        <f t="shared" si="28"/>
        <v>12600</v>
      </c>
      <c r="H301" s="1">
        <f t="shared" si="29"/>
        <v>28350</v>
      </c>
      <c r="I301" s="1">
        <f>MAX(0,Table1[[#This Row],[Agi]]-Table1[[#This Row],[Exemptions]]-Table1[[#This Row],[Effective Deductions]])</f>
        <v>91050</v>
      </c>
      <c r="J3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14305</v>
      </c>
      <c r="K301" s="1">
        <f t="shared" si="30"/>
        <v>5000</v>
      </c>
      <c r="L301" s="1">
        <f>IF(Table1[[#This Row],[Agi]]&gt;ctc_phase_out_begins,ctc_phase_out_rate*(Table1[[#This Row],[Agi]]-ctc_phase_out_begins),0)</f>
        <v>1100</v>
      </c>
      <c r="M301" s="1">
        <f>MAX(Table1[[#This Row],[Child Tax Credit]]-Table1[[#This Row],[Child Tax Credit Phase Out]],0)</f>
        <v>3900</v>
      </c>
      <c r="N301" s="1">
        <f>MAX(Table1[[#This Row],[Regular Taxes Owed]]-Table1[[#This Row],[Effective Child Tax Credit]],0)</f>
        <v>10405</v>
      </c>
      <c r="O301" s="1">
        <f>MAX(MIN((Table1[[#This Row],[taxable wages]]-3000)*0.15,1000*num_kids_16_younger),0)</f>
        <v>5000</v>
      </c>
      <c r="P301" s="9">
        <f>IF(Table1[[#This Row],[Effective Child Tax Credit]]&gt;Table1[[#This Row],[Regular Taxes Owed]],Table1[[#This Row],[Additional Child Tax Credit ]]-Table1[[#This Row],[Regular Taxes Owed]],0)</f>
        <v>0</v>
      </c>
      <c r="Q3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1" s="1">
        <f>Table1[[#This Row],[Effective Additional Child Tax Credit]]+Table1[[#This Row],[Eitc]]</f>
        <v>0</v>
      </c>
      <c r="S301" s="9">
        <f>Table1[[#This Row],[Regular Taxes Owed - Effective Child Tax Credit]]-Table1[[#This Row],[Total Credits]]</f>
        <v>10405</v>
      </c>
      <c r="T301" s="9">
        <f>Table1[[#This Row],[taxable wages]]+interest+dividends+short_term_capital_gains+long_term_capital_gains-(charitable_donations+mortgage_interest)</f>
        <v>132000</v>
      </c>
      <c r="U301" s="9">
        <f>MAX(amt_exemption-amt_exemption_phase_out_rate*MAX(Table1[[#This Row],[taxable wages]]-amt_phase_out_begins,0),0)</f>
        <v>83800</v>
      </c>
      <c r="V3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12532</v>
      </c>
      <c r="W301" s="1">
        <f>IF(AND(Table1[[#This Row],[AMT Taxes]]&gt;Table1[[#This Row],[Regular Taxes Owed]],Table1[[#This Row],[AMT Taxes]]&gt;0),Table1[[#This Row],[AMT Taxes]]-Table1[[#This Row],[Regular Taxes Owed]],0)</f>
        <v>0</v>
      </c>
      <c r="X301" s="9">
        <f>Table1[[#This Row],[Extra Taxes From Amt]]+Table1[[#This Row],[Federal Taxes Owed (No AMT)]]</f>
        <v>10405</v>
      </c>
      <c r="Y301" s="9">
        <f>IF(Table1[[#This Row],[taxable wages]]&gt;obamacare_surcharge_amount,obamacare_surcharge_percent*(Table1[[#This Row],[taxable wages]]-obamacare_surcharge_amount),0)</f>
        <v>0</v>
      </c>
      <c r="Z301" s="9">
        <f>Table1[[#This Row],[Federal Taxes Owed (Includes AMT)]]+Table1[[#This Row],[Obamacare surcharge premium]]</f>
        <v>10405</v>
      </c>
      <c r="AA301" s="9">
        <f>Table1[[#This Row],[taxable wages]]-Table1[[#This Row],[Federal Taxes Owed2]]</f>
        <v>121595</v>
      </c>
      <c r="AB301" s="51">
        <f t="shared" si="31"/>
        <v>0.3</v>
      </c>
      <c r="AC301" s="41"/>
      <c r="AD301" s="13"/>
      <c r="AE301" s="13"/>
    </row>
    <row r="302" spans="2:31" x14ac:dyDescent="0.3">
      <c r="B302" s="41">
        <f t="shared" si="32"/>
        <v>132500</v>
      </c>
      <c r="C302" s="1">
        <f>Table1[[#This Row],[taxable wages]]</f>
        <v>132500</v>
      </c>
      <c r="D302" s="1">
        <f>Table1[[#This Row],[taxable wages]]+interest+dividends+short_term_capital_gains+long_term_capital_gains</f>
        <v>132500</v>
      </c>
      <c r="E302" s="1">
        <f>MAX(Table1[[#This Row],[earned income for EITC]:[Agi For Eitc Calc]])</f>
        <v>132500</v>
      </c>
      <c r="F302" s="1">
        <f>Table1[[#This Row],[taxable wages]]+interest+dividends+short_term_capital_gains+long_term_capital_gains-(trad_ira_contributions+MIN(student_loan_interest_cap,student_loan_interest))</f>
        <v>132500</v>
      </c>
      <c r="G302" s="1">
        <f t="shared" si="28"/>
        <v>12600</v>
      </c>
      <c r="H302" s="1">
        <f t="shared" si="29"/>
        <v>28350</v>
      </c>
      <c r="I302" s="1">
        <f>MAX(0,Table1[[#This Row],[Agi]]-Table1[[#This Row],[Exemptions]]-Table1[[#This Row],[Effective Deductions]])</f>
        <v>91550</v>
      </c>
      <c r="J3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14430</v>
      </c>
      <c r="K302" s="1">
        <f t="shared" si="30"/>
        <v>5000</v>
      </c>
      <c r="L302" s="1">
        <f>IF(Table1[[#This Row],[Agi]]&gt;ctc_phase_out_begins,ctc_phase_out_rate*(Table1[[#This Row],[Agi]]-ctc_phase_out_begins),0)</f>
        <v>1125</v>
      </c>
      <c r="M302" s="1">
        <f>MAX(Table1[[#This Row],[Child Tax Credit]]-Table1[[#This Row],[Child Tax Credit Phase Out]],0)</f>
        <v>3875</v>
      </c>
      <c r="N302" s="1">
        <f>MAX(Table1[[#This Row],[Regular Taxes Owed]]-Table1[[#This Row],[Effective Child Tax Credit]],0)</f>
        <v>10555</v>
      </c>
      <c r="O302" s="1">
        <f>MAX(MIN((Table1[[#This Row],[taxable wages]]-3000)*0.15,1000*num_kids_16_younger),0)</f>
        <v>5000</v>
      </c>
      <c r="P302" s="9">
        <f>IF(Table1[[#This Row],[Effective Child Tax Credit]]&gt;Table1[[#This Row],[Regular Taxes Owed]],Table1[[#This Row],[Additional Child Tax Credit ]]-Table1[[#This Row],[Regular Taxes Owed]],0)</f>
        <v>0</v>
      </c>
      <c r="Q3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2" s="1">
        <f>Table1[[#This Row],[Effective Additional Child Tax Credit]]+Table1[[#This Row],[Eitc]]</f>
        <v>0</v>
      </c>
      <c r="S302" s="9">
        <f>Table1[[#This Row],[Regular Taxes Owed - Effective Child Tax Credit]]-Table1[[#This Row],[Total Credits]]</f>
        <v>10555</v>
      </c>
      <c r="T302" s="9">
        <f>Table1[[#This Row],[taxable wages]]+interest+dividends+short_term_capital_gains+long_term_capital_gains-(charitable_donations+mortgage_interest)</f>
        <v>132500</v>
      </c>
      <c r="U302" s="9">
        <f>MAX(amt_exemption-amt_exemption_phase_out_rate*MAX(Table1[[#This Row],[taxable wages]]-amt_phase_out_begins,0),0)</f>
        <v>83800</v>
      </c>
      <c r="V3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12662</v>
      </c>
      <c r="W302" s="1">
        <f>IF(AND(Table1[[#This Row],[AMT Taxes]]&gt;Table1[[#This Row],[Regular Taxes Owed]],Table1[[#This Row],[AMT Taxes]]&gt;0),Table1[[#This Row],[AMT Taxes]]-Table1[[#This Row],[Regular Taxes Owed]],0)</f>
        <v>0</v>
      </c>
      <c r="X302" s="9">
        <f>Table1[[#This Row],[Extra Taxes From Amt]]+Table1[[#This Row],[Federal Taxes Owed (No AMT)]]</f>
        <v>10555</v>
      </c>
      <c r="Y302" s="9">
        <f>IF(Table1[[#This Row],[taxable wages]]&gt;obamacare_surcharge_amount,obamacare_surcharge_percent*(Table1[[#This Row],[taxable wages]]-obamacare_surcharge_amount),0)</f>
        <v>0</v>
      </c>
      <c r="Z302" s="9">
        <f>Table1[[#This Row],[Federal Taxes Owed (Includes AMT)]]+Table1[[#This Row],[Obamacare surcharge premium]]</f>
        <v>10555</v>
      </c>
      <c r="AA302" s="9">
        <f>Table1[[#This Row],[taxable wages]]-Table1[[#This Row],[Federal Taxes Owed2]]</f>
        <v>121945</v>
      </c>
      <c r="AB302" s="51">
        <f t="shared" si="31"/>
        <v>0.3</v>
      </c>
      <c r="AC302" s="41"/>
      <c r="AD302" s="13"/>
      <c r="AE302" s="13"/>
    </row>
    <row r="303" spans="2:31" x14ac:dyDescent="0.3">
      <c r="B303" s="41">
        <f t="shared" si="32"/>
        <v>133000</v>
      </c>
      <c r="C303" s="1">
        <f>Table1[[#This Row],[taxable wages]]</f>
        <v>133000</v>
      </c>
      <c r="D303" s="1">
        <f>Table1[[#This Row],[taxable wages]]+interest+dividends+short_term_capital_gains+long_term_capital_gains</f>
        <v>133000</v>
      </c>
      <c r="E303" s="1">
        <f>MAX(Table1[[#This Row],[earned income for EITC]:[Agi For Eitc Calc]])</f>
        <v>133000</v>
      </c>
      <c r="F303" s="1">
        <f>Table1[[#This Row],[taxable wages]]+interest+dividends+short_term_capital_gains+long_term_capital_gains-(trad_ira_contributions+MIN(student_loan_interest_cap,student_loan_interest))</f>
        <v>133000</v>
      </c>
      <c r="G303" s="1">
        <f t="shared" si="28"/>
        <v>12600</v>
      </c>
      <c r="H303" s="1">
        <f t="shared" si="29"/>
        <v>28350</v>
      </c>
      <c r="I303" s="1">
        <f>MAX(0,Table1[[#This Row],[Agi]]-Table1[[#This Row],[Exemptions]]-Table1[[#This Row],[Effective Deductions]])</f>
        <v>92050</v>
      </c>
      <c r="J3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14555</v>
      </c>
      <c r="K303" s="1">
        <f t="shared" si="30"/>
        <v>5000</v>
      </c>
      <c r="L303" s="1">
        <f>IF(Table1[[#This Row],[Agi]]&gt;ctc_phase_out_begins,ctc_phase_out_rate*(Table1[[#This Row],[Agi]]-ctc_phase_out_begins),0)</f>
        <v>1150</v>
      </c>
      <c r="M303" s="1">
        <f>MAX(Table1[[#This Row],[Child Tax Credit]]-Table1[[#This Row],[Child Tax Credit Phase Out]],0)</f>
        <v>3850</v>
      </c>
      <c r="N303" s="1">
        <f>MAX(Table1[[#This Row],[Regular Taxes Owed]]-Table1[[#This Row],[Effective Child Tax Credit]],0)</f>
        <v>10705</v>
      </c>
      <c r="O303" s="1">
        <f>MAX(MIN((Table1[[#This Row],[taxable wages]]-3000)*0.15,1000*num_kids_16_younger),0)</f>
        <v>5000</v>
      </c>
      <c r="P303" s="9">
        <f>IF(Table1[[#This Row],[Effective Child Tax Credit]]&gt;Table1[[#This Row],[Regular Taxes Owed]],Table1[[#This Row],[Additional Child Tax Credit ]]-Table1[[#This Row],[Regular Taxes Owed]],0)</f>
        <v>0</v>
      </c>
      <c r="Q3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3" s="1">
        <f>Table1[[#This Row],[Effective Additional Child Tax Credit]]+Table1[[#This Row],[Eitc]]</f>
        <v>0</v>
      </c>
      <c r="S303" s="9">
        <f>Table1[[#This Row],[Regular Taxes Owed - Effective Child Tax Credit]]-Table1[[#This Row],[Total Credits]]</f>
        <v>10705</v>
      </c>
      <c r="T303" s="9">
        <f>Table1[[#This Row],[taxable wages]]+interest+dividends+short_term_capital_gains+long_term_capital_gains-(charitable_donations+mortgage_interest)</f>
        <v>133000</v>
      </c>
      <c r="U303" s="9">
        <f>MAX(amt_exemption-amt_exemption_phase_out_rate*MAX(Table1[[#This Row],[taxable wages]]-amt_phase_out_begins,0),0)</f>
        <v>83800</v>
      </c>
      <c r="V3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12792</v>
      </c>
      <c r="W303" s="1">
        <f>IF(AND(Table1[[#This Row],[AMT Taxes]]&gt;Table1[[#This Row],[Regular Taxes Owed]],Table1[[#This Row],[AMT Taxes]]&gt;0),Table1[[#This Row],[AMT Taxes]]-Table1[[#This Row],[Regular Taxes Owed]],0)</f>
        <v>0</v>
      </c>
      <c r="X303" s="9">
        <f>Table1[[#This Row],[Extra Taxes From Amt]]+Table1[[#This Row],[Federal Taxes Owed (No AMT)]]</f>
        <v>10705</v>
      </c>
      <c r="Y303" s="9">
        <f>IF(Table1[[#This Row],[taxable wages]]&gt;obamacare_surcharge_amount,obamacare_surcharge_percent*(Table1[[#This Row],[taxable wages]]-obamacare_surcharge_amount),0)</f>
        <v>0</v>
      </c>
      <c r="Z303" s="9">
        <f>Table1[[#This Row],[Federal Taxes Owed (Includes AMT)]]+Table1[[#This Row],[Obamacare surcharge premium]]</f>
        <v>10705</v>
      </c>
      <c r="AA303" s="9">
        <f>Table1[[#This Row],[taxable wages]]-Table1[[#This Row],[Federal Taxes Owed2]]</f>
        <v>122295</v>
      </c>
      <c r="AB303" s="51">
        <f t="shared" si="31"/>
        <v>0.3</v>
      </c>
      <c r="AC303" s="41"/>
      <c r="AD303" s="13"/>
      <c r="AE303" s="13"/>
    </row>
    <row r="304" spans="2:31" x14ac:dyDescent="0.3">
      <c r="B304" s="41">
        <f t="shared" si="32"/>
        <v>133500</v>
      </c>
      <c r="C304" s="1">
        <f>Table1[[#This Row],[taxable wages]]</f>
        <v>133500</v>
      </c>
      <c r="D304" s="1">
        <f>Table1[[#This Row],[taxable wages]]+interest+dividends+short_term_capital_gains+long_term_capital_gains</f>
        <v>133500</v>
      </c>
      <c r="E304" s="1">
        <f>MAX(Table1[[#This Row],[earned income for EITC]:[Agi For Eitc Calc]])</f>
        <v>133500</v>
      </c>
      <c r="F304" s="1">
        <f>Table1[[#This Row],[taxable wages]]+interest+dividends+short_term_capital_gains+long_term_capital_gains-(trad_ira_contributions+MIN(student_loan_interest_cap,student_loan_interest))</f>
        <v>133500</v>
      </c>
      <c r="G304" s="1">
        <f t="shared" si="28"/>
        <v>12600</v>
      </c>
      <c r="H304" s="1">
        <f t="shared" si="29"/>
        <v>28350</v>
      </c>
      <c r="I304" s="1">
        <f>MAX(0,Table1[[#This Row],[Agi]]-Table1[[#This Row],[Exemptions]]-Table1[[#This Row],[Effective Deductions]])</f>
        <v>92550</v>
      </c>
      <c r="J3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14680</v>
      </c>
      <c r="K304" s="1">
        <f t="shared" si="30"/>
        <v>5000</v>
      </c>
      <c r="L304" s="1">
        <f>IF(Table1[[#This Row],[Agi]]&gt;ctc_phase_out_begins,ctc_phase_out_rate*(Table1[[#This Row],[Agi]]-ctc_phase_out_begins),0)</f>
        <v>1175</v>
      </c>
      <c r="M304" s="1">
        <f>MAX(Table1[[#This Row],[Child Tax Credit]]-Table1[[#This Row],[Child Tax Credit Phase Out]],0)</f>
        <v>3825</v>
      </c>
      <c r="N304" s="1">
        <f>MAX(Table1[[#This Row],[Regular Taxes Owed]]-Table1[[#This Row],[Effective Child Tax Credit]],0)</f>
        <v>10855</v>
      </c>
      <c r="O304" s="1">
        <f>MAX(MIN((Table1[[#This Row],[taxable wages]]-3000)*0.15,1000*num_kids_16_younger),0)</f>
        <v>5000</v>
      </c>
      <c r="P304" s="9">
        <f>IF(Table1[[#This Row],[Effective Child Tax Credit]]&gt;Table1[[#This Row],[Regular Taxes Owed]],Table1[[#This Row],[Additional Child Tax Credit ]]-Table1[[#This Row],[Regular Taxes Owed]],0)</f>
        <v>0</v>
      </c>
      <c r="Q3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4" s="1">
        <f>Table1[[#This Row],[Effective Additional Child Tax Credit]]+Table1[[#This Row],[Eitc]]</f>
        <v>0</v>
      </c>
      <c r="S304" s="9">
        <f>Table1[[#This Row],[Regular Taxes Owed - Effective Child Tax Credit]]-Table1[[#This Row],[Total Credits]]</f>
        <v>10855</v>
      </c>
      <c r="T304" s="9">
        <f>Table1[[#This Row],[taxable wages]]+interest+dividends+short_term_capital_gains+long_term_capital_gains-(charitable_donations+mortgage_interest)</f>
        <v>133500</v>
      </c>
      <c r="U304" s="9">
        <f>MAX(amt_exemption-amt_exemption_phase_out_rate*MAX(Table1[[#This Row],[taxable wages]]-amt_phase_out_begins,0),0)</f>
        <v>83800</v>
      </c>
      <c r="V3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12922</v>
      </c>
      <c r="W304" s="1">
        <f>IF(AND(Table1[[#This Row],[AMT Taxes]]&gt;Table1[[#This Row],[Regular Taxes Owed]],Table1[[#This Row],[AMT Taxes]]&gt;0),Table1[[#This Row],[AMT Taxes]]-Table1[[#This Row],[Regular Taxes Owed]],0)</f>
        <v>0</v>
      </c>
      <c r="X304" s="9">
        <f>Table1[[#This Row],[Extra Taxes From Amt]]+Table1[[#This Row],[Federal Taxes Owed (No AMT)]]</f>
        <v>10855</v>
      </c>
      <c r="Y304" s="9">
        <f>IF(Table1[[#This Row],[taxable wages]]&gt;obamacare_surcharge_amount,obamacare_surcharge_percent*(Table1[[#This Row],[taxable wages]]-obamacare_surcharge_amount),0)</f>
        <v>0</v>
      </c>
      <c r="Z304" s="9">
        <f>Table1[[#This Row],[Federal Taxes Owed (Includes AMT)]]+Table1[[#This Row],[Obamacare surcharge premium]]</f>
        <v>10855</v>
      </c>
      <c r="AA304" s="9">
        <f>Table1[[#This Row],[taxable wages]]-Table1[[#This Row],[Federal Taxes Owed2]]</f>
        <v>122645</v>
      </c>
      <c r="AB304" s="51">
        <f t="shared" si="31"/>
        <v>0.3</v>
      </c>
      <c r="AC304" s="41"/>
      <c r="AD304" s="13"/>
      <c r="AE304" s="13"/>
    </row>
    <row r="305" spans="2:31" x14ac:dyDescent="0.3">
      <c r="B305" s="41">
        <f t="shared" si="32"/>
        <v>134000</v>
      </c>
      <c r="C305" s="1">
        <f>Table1[[#This Row],[taxable wages]]</f>
        <v>134000</v>
      </c>
      <c r="D305" s="1">
        <f>Table1[[#This Row],[taxable wages]]+interest+dividends+short_term_capital_gains+long_term_capital_gains</f>
        <v>134000</v>
      </c>
      <c r="E305" s="1">
        <f>MAX(Table1[[#This Row],[earned income for EITC]:[Agi For Eitc Calc]])</f>
        <v>134000</v>
      </c>
      <c r="F305" s="1">
        <f>Table1[[#This Row],[taxable wages]]+interest+dividends+short_term_capital_gains+long_term_capital_gains-(trad_ira_contributions+MIN(student_loan_interest_cap,student_loan_interest))</f>
        <v>134000</v>
      </c>
      <c r="G305" s="1">
        <f t="shared" si="28"/>
        <v>12600</v>
      </c>
      <c r="H305" s="1">
        <f t="shared" si="29"/>
        <v>28350</v>
      </c>
      <c r="I305" s="1">
        <f>MAX(0,Table1[[#This Row],[Agi]]-Table1[[#This Row],[Exemptions]]-Table1[[#This Row],[Effective Deductions]])</f>
        <v>93050</v>
      </c>
      <c r="J3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14805</v>
      </c>
      <c r="K305" s="1">
        <f t="shared" si="30"/>
        <v>5000</v>
      </c>
      <c r="L305" s="1">
        <f>IF(Table1[[#This Row],[Agi]]&gt;ctc_phase_out_begins,ctc_phase_out_rate*(Table1[[#This Row],[Agi]]-ctc_phase_out_begins),0)</f>
        <v>1200</v>
      </c>
      <c r="M305" s="1">
        <f>MAX(Table1[[#This Row],[Child Tax Credit]]-Table1[[#This Row],[Child Tax Credit Phase Out]],0)</f>
        <v>3800</v>
      </c>
      <c r="N305" s="1">
        <f>MAX(Table1[[#This Row],[Regular Taxes Owed]]-Table1[[#This Row],[Effective Child Tax Credit]],0)</f>
        <v>11005</v>
      </c>
      <c r="O305" s="1">
        <f>MAX(MIN((Table1[[#This Row],[taxable wages]]-3000)*0.15,1000*num_kids_16_younger),0)</f>
        <v>5000</v>
      </c>
      <c r="P305" s="9">
        <f>IF(Table1[[#This Row],[Effective Child Tax Credit]]&gt;Table1[[#This Row],[Regular Taxes Owed]],Table1[[#This Row],[Additional Child Tax Credit ]]-Table1[[#This Row],[Regular Taxes Owed]],0)</f>
        <v>0</v>
      </c>
      <c r="Q3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5" s="1">
        <f>Table1[[#This Row],[Effective Additional Child Tax Credit]]+Table1[[#This Row],[Eitc]]</f>
        <v>0</v>
      </c>
      <c r="S305" s="9">
        <f>Table1[[#This Row],[Regular Taxes Owed - Effective Child Tax Credit]]-Table1[[#This Row],[Total Credits]]</f>
        <v>11005</v>
      </c>
      <c r="T305" s="9">
        <f>Table1[[#This Row],[taxable wages]]+interest+dividends+short_term_capital_gains+long_term_capital_gains-(charitable_donations+mortgage_interest)</f>
        <v>134000</v>
      </c>
      <c r="U305" s="9">
        <f>MAX(amt_exemption-amt_exemption_phase_out_rate*MAX(Table1[[#This Row],[taxable wages]]-amt_phase_out_begins,0),0)</f>
        <v>83800</v>
      </c>
      <c r="V3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13052</v>
      </c>
      <c r="W305" s="1">
        <f>IF(AND(Table1[[#This Row],[AMT Taxes]]&gt;Table1[[#This Row],[Regular Taxes Owed]],Table1[[#This Row],[AMT Taxes]]&gt;0),Table1[[#This Row],[AMT Taxes]]-Table1[[#This Row],[Regular Taxes Owed]],0)</f>
        <v>0</v>
      </c>
      <c r="X305" s="9">
        <f>Table1[[#This Row],[Extra Taxes From Amt]]+Table1[[#This Row],[Federal Taxes Owed (No AMT)]]</f>
        <v>11005</v>
      </c>
      <c r="Y305" s="9">
        <f>IF(Table1[[#This Row],[taxable wages]]&gt;obamacare_surcharge_amount,obamacare_surcharge_percent*(Table1[[#This Row],[taxable wages]]-obamacare_surcharge_amount),0)</f>
        <v>0</v>
      </c>
      <c r="Z305" s="9">
        <f>Table1[[#This Row],[Federal Taxes Owed (Includes AMT)]]+Table1[[#This Row],[Obamacare surcharge premium]]</f>
        <v>11005</v>
      </c>
      <c r="AA305" s="9">
        <f>Table1[[#This Row],[taxable wages]]-Table1[[#This Row],[Federal Taxes Owed2]]</f>
        <v>122995</v>
      </c>
      <c r="AB305" s="51">
        <f t="shared" si="31"/>
        <v>0.3</v>
      </c>
      <c r="AC305" s="41"/>
      <c r="AD305" s="13"/>
      <c r="AE305" s="13"/>
    </row>
    <row r="306" spans="2:31" x14ac:dyDescent="0.3">
      <c r="B306" s="41">
        <f t="shared" si="32"/>
        <v>134500</v>
      </c>
      <c r="C306" s="1">
        <f>Table1[[#This Row],[taxable wages]]</f>
        <v>134500</v>
      </c>
      <c r="D306" s="1">
        <f>Table1[[#This Row],[taxable wages]]+interest+dividends+short_term_capital_gains+long_term_capital_gains</f>
        <v>134500</v>
      </c>
      <c r="E306" s="1">
        <f>MAX(Table1[[#This Row],[earned income for EITC]:[Agi For Eitc Calc]])</f>
        <v>134500</v>
      </c>
      <c r="F306" s="1">
        <f>Table1[[#This Row],[taxable wages]]+interest+dividends+short_term_capital_gains+long_term_capital_gains-(trad_ira_contributions+MIN(student_loan_interest_cap,student_loan_interest))</f>
        <v>134500</v>
      </c>
      <c r="G306" s="1">
        <f t="shared" si="28"/>
        <v>12600</v>
      </c>
      <c r="H306" s="1">
        <f t="shared" si="29"/>
        <v>28350</v>
      </c>
      <c r="I306" s="1">
        <f>MAX(0,Table1[[#This Row],[Agi]]-Table1[[#This Row],[Exemptions]]-Table1[[#This Row],[Effective Deductions]])</f>
        <v>93550</v>
      </c>
      <c r="J3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14930</v>
      </c>
      <c r="K306" s="1">
        <f t="shared" si="30"/>
        <v>5000</v>
      </c>
      <c r="L306" s="1">
        <f>IF(Table1[[#This Row],[Agi]]&gt;ctc_phase_out_begins,ctc_phase_out_rate*(Table1[[#This Row],[Agi]]-ctc_phase_out_begins),0)</f>
        <v>1225</v>
      </c>
      <c r="M306" s="1">
        <f>MAX(Table1[[#This Row],[Child Tax Credit]]-Table1[[#This Row],[Child Tax Credit Phase Out]],0)</f>
        <v>3775</v>
      </c>
      <c r="N306" s="1">
        <f>MAX(Table1[[#This Row],[Regular Taxes Owed]]-Table1[[#This Row],[Effective Child Tax Credit]],0)</f>
        <v>11155</v>
      </c>
      <c r="O306" s="1">
        <f>MAX(MIN((Table1[[#This Row],[taxable wages]]-3000)*0.15,1000*num_kids_16_younger),0)</f>
        <v>5000</v>
      </c>
      <c r="P306" s="9">
        <f>IF(Table1[[#This Row],[Effective Child Tax Credit]]&gt;Table1[[#This Row],[Regular Taxes Owed]],Table1[[#This Row],[Additional Child Tax Credit ]]-Table1[[#This Row],[Regular Taxes Owed]],0)</f>
        <v>0</v>
      </c>
      <c r="Q3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6" s="1">
        <f>Table1[[#This Row],[Effective Additional Child Tax Credit]]+Table1[[#This Row],[Eitc]]</f>
        <v>0</v>
      </c>
      <c r="S306" s="9">
        <f>Table1[[#This Row],[Regular Taxes Owed - Effective Child Tax Credit]]-Table1[[#This Row],[Total Credits]]</f>
        <v>11155</v>
      </c>
      <c r="T306" s="9">
        <f>Table1[[#This Row],[taxable wages]]+interest+dividends+short_term_capital_gains+long_term_capital_gains-(charitable_donations+mortgage_interest)</f>
        <v>134500</v>
      </c>
      <c r="U306" s="9">
        <f>MAX(amt_exemption-amt_exemption_phase_out_rate*MAX(Table1[[#This Row],[taxable wages]]-amt_phase_out_begins,0),0)</f>
        <v>83800</v>
      </c>
      <c r="V3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13182</v>
      </c>
      <c r="W306" s="1">
        <f>IF(AND(Table1[[#This Row],[AMT Taxes]]&gt;Table1[[#This Row],[Regular Taxes Owed]],Table1[[#This Row],[AMT Taxes]]&gt;0),Table1[[#This Row],[AMT Taxes]]-Table1[[#This Row],[Regular Taxes Owed]],0)</f>
        <v>0</v>
      </c>
      <c r="X306" s="9">
        <f>Table1[[#This Row],[Extra Taxes From Amt]]+Table1[[#This Row],[Federal Taxes Owed (No AMT)]]</f>
        <v>11155</v>
      </c>
      <c r="Y306" s="9">
        <f>IF(Table1[[#This Row],[taxable wages]]&gt;obamacare_surcharge_amount,obamacare_surcharge_percent*(Table1[[#This Row],[taxable wages]]-obamacare_surcharge_amount),0)</f>
        <v>0</v>
      </c>
      <c r="Z306" s="9">
        <f>Table1[[#This Row],[Federal Taxes Owed (Includes AMT)]]+Table1[[#This Row],[Obamacare surcharge premium]]</f>
        <v>11155</v>
      </c>
      <c r="AA306" s="9">
        <f>Table1[[#This Row],[taxable wages]]-Table1[[#This Row],[Federal Taxes Owed2]]</f>
        <v>123345</v>
      </c>
      <c r="AB306" s="51">
        <f t="shared" si="31"/>
        <v>0.3</v>
      </c>
      <c r="AC306" s="41"/>
      <c r="AD306" s="13"/>
      <c r="AE306" s="13"/>
    </row>
    <row r="307" spans="2:31" x14ac:dyDescent="0.3">
      <c r="B307" s="41">
        <f t="shared" si="32"/>
        <v>135000</v>
      </c>
      <c r="C307" s="1">
        <f>Table1[[#This Row],[taxable wages]]</f>
        <v>135000</v>
      </c>
      <c r="D307" s="1">
        <f>Table1[[#This Row],[taxable wages]]+interest+dividends+short_term_capital_gains+long_term_capital_gains</f>
        <v>135000</v>
      </c>
      <c r="E307" s="1">
        <f>MAX(Table1[[#This Row],[earned income for EITC]:[Agi For Eitc Calc]])</f>
        <v>135000</v>
      </c>
      <c r="F307" s="1">
        <f>Table1[[#This Row],[taxable wages]]+interest+dividends+short_term_capital_gains+long_term_capital_gains-(trad_ira_contributions+MIN(student_loan_interest_cap,student_loan_interest))</f>
        <v>135000</v>
      </c>
      <c r="G307" s="1">
        <f t="shared" si="28"/>
        <v>12600</v>
      </c>
      <c r="H307" s="1">
        <f t="shared" si="29"/>
        <v>28350</v>
      </c>
      <c r="I307" s="1">
        <f>MAX(0,Table1[[#This Row],[Agi]]-Table1[[#This Row],[Exemptions]]-Table1[[#This Row],[Effective Deductions]])</f>
        <v>94050</v>
      </c>
      <c r="J3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15055</v>
      </c>
      <c r="K307" s="1">
        <f t="shared" si="30"/>
        <v>5000</v>
      </c>
      <c r="L307" s="1">
        <f>IF(Table1[[#This Row],[Agi]]&gt;ctc_phase_out_begins,ctc_phase_out_rate*(Table1[[#This Row],[Agi]]-ctc_phase_out_begins),0)</f>
        <v>1250</v>
      </c>
      <c r="M307" s="1">
        <f>MAX(Table1[[#This Row],[Child Tax Credit]]-Table1[[#This Row],[Child Tax Credit Phase Out]],0)</f>
        <v>3750</v>
      </c>
      <c r="N307" s="1">
        <f>MAX(Table1[[#This Row],[Regular Taxes Owed]]-Table1[[#This Row],[Effective Child Tax Credit]],0)</f>
        <v>11305</v>
      </c>
      <c r="O307" s="1">
        <f>MAX(MIN((Table1[[#This Row],[taxable wages]]-3000)*0.15,1000*num_kids_16_younger),0)</f>
        <v>5000</v>
      </c>
      <c r="P307" s="9">
        <f>IF(Table1[[#This Row],[Effective Child Tax Credit]]&gt;Table1[[#This Row],[Regular Taxes Owed]],Table1[[#This Row],[Additional Child Tax Credit ]]-Table1[[#This Row],[Regular Taxes Owed]],0)</f>
        <v>0</v>
      </c>
      <c r="Q3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7" s="1">
        <f>Table1[[#This Row],[Effective Additional Child Tax Credit]]+Table1[[#This Row],[Eitc]]</f>
        <v>0</v>
      </c>
      <c r="S307" s="9">
        <f>Table1[[#This Row],[Regular Taxes Owed - Effective Child Tax Credit]]-Table1[[#This Row],[Total Credits]]</f>
        <v>11305</v>
      </c>
      <c r="T307" s="9">
        <f>Table1[[#This Row],[taxable wages]]+interest+dividends+short_term_capital_gains+long_term_capital_gains-(charitable_donations+mortgage_interest)</f>
        <v>135000</v>
      </c>
      <c r="U307" s="9">
        <f>MAX(amt_exemption-amt_exemption_phase_out_rate*MAX(Table1[[#This Row],[taxable wages]]-amt_phase_out_begins,0),0)</f>
        <v>83800</v>
      </c>
      <c r="V3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13312</v>
      </c>
      <c r="W307" s="1">
        <f>IF(AND(Table1[[#This Row],[AMT Taxes]]&gt;Table1[[#This Row],[Regular Taxes Owed]],Table1[[#This Row],[AMT Taxes]]&gt;0),Table1[[#This Row],[AMT Taxes]]-Table1[[#This Row],[Regular Taxes Owed]],0)</f>
        <v>0</v>
      </c>
      <c r="X307" s="9">
        <f>Table1[[#This Row],[Extra Taxes From Amt]]+Table1[[#This Row],[Federal Taxes Owed (No AMT)]]</f>
        <v>11305</v>
      </c>
      <c r="Y307" s="9">
        <f>IF(Table1[[#This Row],[taxable wages]]&gt;obamacare_surcharge_amount,obamacare_surcharge_percent*(Table1[[#This Row],[taxable wages]]-obamacare_surcharge_amount),0)</f>
        <v>0</v>
      </c>
      <c r="Z307" s="9">
        <f>Table1[[#This Row],[Federal Taxes Owed (Includes AMT)]]+Table1[[#This Row],[Obamacare surcharge premium]]</f>
        <v>11305</v>
      </c>
      <c r="AA307" s="9">
        <f>Table1[[#This Row],[taxable wages]]-Table1[[#This Row],[Federal Taxes Owed2]]</f>
        <v>123695</v>
      </c>
      <c r="AB307" s="51">
        <f t="shared" si="31"/>
        <v>0.3</v>
      </c>
      <c r="AC307" s="41"/>
      <c r="AD307" s="13"/>
      <c r="AE307" s="13"/>
    </row>
    <row r="308" spans="2:31" x14ac:dyDescent="0.3">
      <c r="B308" s="41">
        <f t="shared" si="32"/>
        <v>135500</v>
      </c>
      <c r="C308" s="1">
        <f>Table1[[#This Row],[taxable wages]]</f>
        <v>135500</v>
      </c>
      <c r="D308" s="1">
        <f>Table1[[#This Row],[taxable wages]]+interest+dividends+short_term_capital_gains+long_term_capital_gains</f>
        <v>135500</v>
      </c>
      <c r="E308" s="1">
        <f>MAX(Table1[[#This Row],[earned income for EITC]:[Agi For Eitc Calc]])</f>
        <v>135500</v>
      </c>
      <c r="F308" s="1">
        <f>Table1[[#This Row],[taxable wages]]+interest+dividends+short_term_capital_gains+long_term_capital_gains-(trad_ira_contributions+MIN(student_loan_interest_cap,student_loan_interest))</f>
        <v>135500</v>
      </c>
      <c r="G308" s="1">
        <f t="shared" si="28"/>
        <v>12600</v>
      </c>
      <c r="H308" s="1">
        <f t="shared" si="29"/>
        <v>28350</v>
      </c>
      <c r="I308" s="1">
        <f>MAX(0,Table1[[#This Row],[Agi]]-Table1[[#This Row],[Exemptions]]-Table1[[#This Row],[Effective Deductions]])</f>
        <v>94550</v>
      </c>
      <c r="J3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15180</v>
      </c>
      <c r="K308" s="1">
        <f t="shared" si="30"/>
        <v>5000</v>
      </c>
      <c r="L308" s="1">
        <f>IF(Table1[[#This Row],[Agi]]&gt;ctc_phase_out_begins,ctc_phase_out_rate*(Table1[[#This Row],[Agi]]-ctc_phase_out_begins),0)</f>
        <v>1275</v>
      </c>
      <c r="M308" s="1">
        <f>MAX(Table1[[#This Row],[Child Tax Credit]]-Table1[[#This Row],[Child Tax Credit Phase Out]],0)</f>
        <v>3725</v>
      </c>
      <c r="N308" s="1">
        <f>MAX(Table1[[#This Row],[Regular Taxes Owed]]-Table1[[#This Row],[Effective Child Tax Credit]],0)</f>
        <v>11455</v>
      </c>
      <c r="O308" s="1">
        <f>MAX(MIN((Table1[[#This Row],[taxable wages]]-3000)*0.15,1000*num_kids_16_younger),0)</f>
        <v>5000</v>
      </c>
      <c r="P308" s="9">
        <f>IF(Table1[[#This Row],[Effective Child Tax Credit]]&gt;Table1[[#This Row],[Regular Taxes Owed]],Table1[[#This Row],[Additional Child Tax Credit ]]-Table1[[#This Row],[Regular Taxes Owed]],0)</f>
        <v>0</v>
      </c>
      <c r="Q3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8" s="1">
        <f>Table1[[#This Row],[Effective Additional Child Tax Credit]]+Table1[[#This Row],[Eitc]]</f>
        <v>0</v>
      </c>
      <c r="S308" s="9">
        <f>Table1[[#This Row],[Regular Taxes Owed - Effective Child Tax Credit]]-Table1[[#This Row],[Total Credits]]</f>
        <v>11455</v>
      </c>
      <c r="T308" s="9">
        <f>Table1[[#This Row],[taxable wages]]+interest+dividends+short_term_capital_gains+long_term_capital_gains-(charitable_donations+mortgage_interest)</f>
        <v>135500</v>
      </c>
      <c r="U308" s="9">
        <f>MAX(amt_exemption-amt_exemption_phase_out_rate*MAX(Table1[[#This Row],[taxable wages]]-amt_phase_out_begins,0),0)</f>
        <v>83800</v>
      </c>
      <c r="V3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13442</v>
      </c>
      <c r="W308" s="1">
        <f>IF(AND(Table1[[#This Row],[AMT Taxes]]&gt;Table1[[#This Row],[Regular Taxes Owed]],Table1[[#This Row],[AMT Taxes]]&gt;0),Table1[[#This Row],[AMT Taxes]]-Table1[[#This Row],[Regular Taxes Owed]],0)</f>
        <v>0</v>
      </c>
      <c r="X308" s="9">
        <f>Table1[[#This Row],[Extra Taxes From Amt]]+Table1[[#This Row],[Federal Taxes Owed (No AMT)]]</f>
        <v>11455</v>
      </c>
      <c r="Y308" s="9">
        <f>IF(Table1[[#This Row],[taxable wages]]&gt;obamacare_surcharge_amount,obamacare_surcharge_percent*(Table1[[#This Row],[taxable wages]]-obamacare_surcharge_amount),0)</f>
        <v>0</v>
      </c>
      <c r="Z308" s="9">
        <f>Table1[[#This Row],[Federal Taxes Owed (Includes AMT)]]+Table1[[#This Row],[Obamacare surcharge premium]]</f>
        <v>11455</v>
      </c>
      <c r="AA308" s="9">
        <f>Table1[[#This Row],[taxable wages]]-Table1[[#This Row],[Federal Taxes Owed2]]</f>
        <v>124045</v>
      </c>
      <c r="AB308" s="51">
        <f t="shared" si="31"/>
        <v>0.3</v>
      </c>
      <c r="AC308" s="41"/>
      <c r="AD308" s="13"/>
      <c r="AE308" s="13"/>
    </row>
    <row r="309" spans="2:31" x14ac:dyDescent="0.3">
      <c r="B309" s="41">
        <f t="shared" si="32"/>
        <v>136000</v>
      </c>
      <c r="C309" s="1">
        <f>Table1[[#This Row],[taxable wages]]</f>
        <v>136000</v>
      </c>
      <c r="D309" s="1">
        <f>Table1[[#This Row],[taxable wages]]+interest+dividends+short_term_capital_gains+long_term_capital_gains</f>
        <v>136000</v>
      </c>
      <c r="E309" s="1">
        <f>MAX(Table1[[#This Row],[earned income for EITC]:[Agi For Eitc Calc]])</f>
        <v>136000</v>
      </c>
      <c r="F309" s="1">
        <f>Table1[[#This Row],[taxable wages]]+interest+dividends+short_term_capital_gains+long_term_capital_gains-(trad_ira_contributions+MIN(student_loan_interest_cap,student_loan_interest))</f>
        <v>136000</v>
      </c>
      <c r="G309" s="1">
        <f t="shared" si="28"/>
        <v>12600</v>
      </c>
      <c r="H309" s="1">
        <f t="shared" si="29"/>
        <v>28350</v>
      </c>
      <c r="I309" s="1">
        <f>MAX(0,Table1[[#This Row],[Agi]]-Table1[[#This Row],[Exemptions]]-Table1[[#This Row],[Effective Deductions]])</f>
        <v>95050</v>
      </c>
      <c r="J3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15305</v>
      </c>
      <c r="K309" s="1">
        <f t="shared" si="30"/>
        <v>5000</v>
      </c>
      <c r="L309" s="1">
        <f>IF(Table1[[#This Row],[Agi]]&gt;ctc_phase_out_begins,ctc_phase_out_rate*(Table1[[#This Row],[Agi]]-ctc_phase_out_begins),0)</f>
        <v>1300</v>
      </c>
      <c r="M309" s="1">
        <f>MAX(Table1[[#This Row],[Child Tax Credit]]-Table1[[#This Row],[Child Tax Credit Phase Out]],0)</f>
        <v>3700</v>
      </c>
      <c r="N309" s="1">
        <f>MAX(Table1[[#This Row],[Regular Taxes Owed]]-Table1[[#This Row],[Effective Child Tax Credit]],0)</f>
        <v>11605</v>
      </c>
      <c r="O309" s="1">
        <f>MAX(MIN((Table1[[#This Row],[taxable wages]]-3000)*0.15,1000*num_kids_16_younger),0)</f>
        <v>5000</v>
      </c>
      <c r="P309" s="9">
        <f>IF(Table1[[#This Row],[Effective Child Tax Credit]]&gt;Table1[[#This Row],[Regular Taxes Owed]],Table1[[#This Row],[Additional Child Tax Credit ]]-Table1[[#This Row],[Regular Taxes Owed]],0)</f>
        <v>0</v>
      </c>
      <c r="Q3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09" s="1">
        <f>Table1[[#This Row],[Effective Additional Child Tax Credit]]+Table1[[#This Row],[Eitc]]</f>
        <v>0</v>
      </c>
      <c r="S309" s="9">
        <f>Table1[[#This Row],[Regular Taxes Owed - Effective Child Tax Credit]]-Table1[[#This Row],[Total Credits]]</f>
        <v>11605</v>
      </c>
      <c r="T309" s="9">
        <f>Table1[[#This Row],[taxable wages]]+interest+dividends+short_term_capital_gains+long_term_capital_gains-(charitable_donations+mortgage_interest)</f>
        <v>136000</v>
      </c>
      <c r="U309" s="9">
        <f>MAX(amt_exemption-amt_exemption_phase_out_rate*MAX(Table1[[#This Row],[taxable wages]]-amt_phase_out_begins,0),0)</f>
        <v>83800</v>
      </c>
      <c r="V3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13572</v>
      </c>
      <c r="W309" s="1">
        <f>IF(AND(Table1[[#This Row],[AMT Taxes]]&gt;Table1[[#This Row],[Regular Taxes Owed]],Table1[[#This Row],[AMT Taxes]]&gt;0),Table1[[#This Row],[AMT Taxes]]-Table1[[#This Row],[Regular Taxes Owed]],0)</f>
        <v>0</v>
      </c>
      <c r="X309" s="9">
        <f>Table1[[#This Row],[Extra Taxes From Amt]]+Table1[[#This Row],[Federal Taxes Owed (No AMT)]]</f>
        <v>11605</v>
      </c>
      <c r="Y309" s="9">
        <f>IF(Table1[[#This Row],[taxable wages]]&gt;obamacare_surcharge_amount,obamacare_surcharge_percent*(Table1[[#This Row],[taxable wages]]-obamacare_surcharge_amount),0)</f>
        <v>0</v>
      </c>
      <c r="Z309" s="9">
        <f>Table1[[#This Row],[Federal Taxes Owed (Includes AMT)]]+Table1[[#This Row],[Obamacare surcharge premium]]</f>
        <v>11605</v>
      </c>
      <c r="AA309" s="9">
        <f>Table1[[#This Row],[taxable wages]]-Table1[[#This Row],[Federal Taxes Owed2]]</f>
        <v>124395</v>
      </c>
      <c r="AB309" s="51">
        <f t="shared" si="31"/>
        <v>0.3</v>
      </c>
      <c r="AC309" s="41"/>
      <c r="AD309" s="13"/>
      <c r="AE309" s="13"/>
    </row>
    <row r="310" spans="2:31" x14ac:dyDescent="0.3">
      <c r="B310" s="41">
        <f t="shared" si="32"/>
        <v>136500</v>
      </c>
      <c r="C310" s="1">
        <f>Table1[[#This Row],[taxable wages]]</f>
        <v>136500</v>
      </c>
      <c r="D310" s="1">
        <f>Table1[[#This Row],[taxable wages]]+interest+dividends+short_term_capital_gains+long_term_capital_gains</f>
        <v>136500</v>
      </c>
      <c r="E310" s="1">
        <f>MAX(Table1[[#This Row],[earned income for EITC]:[Agi For Eitc Calc]])</f>
        <v>136500</v>
      </c>
      <c r="F310" s="1">
        <f>Table1[[#This Row],[taxable wages]]+interest+dividends+short_term_capital_gains+long_term_capital_gains-(trad_ira_contributions+MIN(student_loan_interest_cap,student_loan_interest))</f>
        <v>136500</v>
      </c>
      <c r="G310" s="1">
        <f t="shared" si="28"/>
        <v>12600</v>
      </c>
      <c r="H310" s="1">
        <f t="shared" si="29"/>
        <v>28350</v>
      </c>
      <c r="I310" s="1">
        <f>MAX(0,Table1[[#This Row],[Agi]]-Table1[[#This Row],[Exemptions]]-Table1[[#This Row],[Effective Deductions]])</f>
        <v>95550</v>
      </c>
      <c r="J3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15430</v>
      </c>
      <c r="K310" s="1">
        <f t="shared" si="30"/>
        <v>5000</v>
      </c>
      <c r="L310" s="1">
        <f>IF(Table1[[#This Row],[Agi]]&gt;ctc_phase_out_begins,ctc_phase_out_rate*(Table1[[#This Row],[Agi]]-ctc_phase_out_begins),0)</f>
        <v>1325</v>
      </c>
      <c r="M310" s="1">
        <f>MAX(Table1[[#This Row],[Child Tax Credit]]-Table1[[#This Row],[Child Tax Credit Phase Out]],0)</f>
        <v>3675</v>
      </c>
      <c r="N310" s="1">
        <f>MAX(Table1[[#This Row],[Regular Taxes Owed]]-Table1[[#This Row],[Effective Child Tax Credit]],0)</f>
        <v>11755</v>
      </c>
      <c r="O310" s="1">
        <f>MAX(MIN((Table1[[#This Row],[taxable wages]]-3000)*0.15,1000*num_kids_16_younger),0)</f>
        <v>5000</v>
      </c>
      <c r="P310" s="9">
        <f>IF(Table1[[#This Row],[Effective Child Tax Credit]]&gt;Table1[[#This Row],[Regular Taxes Owed]],Table1[[#This Row],[Additional Child Tax Credit ]]-Table1[[#This Row],[Regular Taxes Owed]],0)</f>
        <v>0</v>
      </c>
      <c r="Q3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0" s="1">
        <f>Table1[[#This Row],[Effective Additional Child Tax Credit]]+Table1[[#This Row],[Eitc]]</f>
        <v>0</v>
      </c>
      <c r="S310" s="9">
        <f>Table1[[#This Row],[Regular Taxes Owed - Effective Child Tax Credit]]-Table1[[#This Row],[Total Credits]]</f>
        <v>11755</v>
      </c>
      <c r="T310" s="9">
        <f>Table1[[#This Row],[taxable wages]]+interest+dividends+short_term_capital_gains+long_term_capital_gains-(charitable_donations+mortgage_interest)</f>
        <v>136500</v>
      </c>
      <c r="U310" s="9">
        <f>MAX(amt_exemption-amt_exemption_phase_out_rate*MAX(Table1[[#This Row],[taxable wages]]-amt_phase_out_begins,0),0)</f>
        <v>83800</v>
      </c>
      <c r="V3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13702</v>
      </c>
      <c r="W310" s="1">
        <f>IF(AND(Table1[[#This Row],[AMT Taxes]]&gt;Table1[[#This Row],[Regular Taxes Owed]],Table1[[#This Row],[AMT Taxes]]&gt;0),Table1[[#This Row],[AMT Taxes]]-Table1[[#This Row],[Regular Taxes Owed]],0)</f>
        <v>0</v>
      </c>
      <c r="X310" s="9">
        <f>Table1[[#This Row],[Extra Taxes From Amt]]+Table1[[#This Row],[Federal Taxes Owed (No AMT)]]</f>
        <v>11755</v>
      </c>
      <c r="Y310" s="9">
        <f>IF(Table1[[#This Row],[taxable wages]]&gt;obamacare_surcharge_amount,obamacare_surcharge_percent*(Table1[[#This Row],[taxable wages]]-obamacare_surcharge_amount),0)</f>
        <v>0</v>
      </c>
      <c r="Z310" s="9">
        <f>Table1[[#This Row],[Federal Taxes Owed (Includes AMT)]]+Table1[[#This Row],[Obamacare surcharge premium]]</f>
        <v>11755</v>
      </c>
      <c r="AA310" s="9">
        <f>Table1[[#This Row],[taxable wages]]-Table1[[#This Row],[Federal Taxes Owed2]]</f>
        <v>124745</v>
      </c>
      <c r="AB310" s="51">
        <f t="shared" si="31"/>
        <v>0.3</v>
      </c>
      <c r="AC310" s="41"/>
      <c r="AD310" s="13"/>
      <c r="AE310" s="13"/>
    </row>
    <row r="311" spans="2:31" x14ac:dyDescent="0.3">
      <c r="B311" s="41">
        <f t="shared" si="32"/>
        <v>137000</v>
      </c>
      <c r="C311" s="1">
        <f>Table1[[#This Row],[taxable wages]]</f>
        <v>137000</v>
      </c>
      <c r="D311" s="1">
        <f>Table1[[#This Row],[taxable wages]]+interest+dividends+short_term_capital_gains+long_term_capital_gains</f>
        <v>137000</v>
      </c>
      <c r="E311" s="1">
        <f>MAX(Table1[[#This Row],[earned income for EITC]:[Agi For Eitc Calc]])</f>
        <v>137000</v>
      </c>
      <c r="F311" s="1">
        <f>Table1[[#This Row],[taxable wages]]+interest+dividends+short_term_capital_gains+long_term_capital_gains-(trad_ira_contributions+MIN(student_loan_interest_cap,student_loan_interest))</f>
        <v>137000</v>
      </c>
      <c r="G311" s="1">
        <f t="shared" si="28"/>
        <v>12600</v>
      </c>
      <c r="H311" s="1">
        <f t="shared" si="29"/>
        <v>28350</v>
      </c>
      <c r="I311" s="1">
        <f>MAX(0,Table1[[#This Row],[Agi]]-Table1[[#This Row],[Exemptions]]-Table1[[#This Row],[Effective Deductions]])</f>
        <v>96050</v>
      </c>
      <c r="J3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15555</v>
      </c>
      <c r="K311" s="1">
        <f t="shared" si="30"/>
        <v>5000</v>
      </c>
      <c r="L311" s="1">
        <f>IF(Table1[[#This Row],[Agi]]&gt;ctc_phase_out_begins,ctc_phase_out_rate*(Table1[[#This Row],[Agi]]-ctc_phase_out_begins),0)</f>
        <v>1350</v>
      </c>
      <c r="M311" s="1">
        <f>MAX(Table1[[#This Row],[Child Tax Credit]]-Table1[[#This Row],[Child Tax Credit Phase Out]],0)</f>
        <v>3650</v>
      </c>
      <c r="N311" s="1">
        <f>MAX(Table1[[#This Row],[Regular Taxes Owed]]-Table1[[#This Row],[Effective Child Tax Credit]],0)</f>
        <v>11905</v>
      </c>
      <c r="O311" s="1">
        <f>MAX(MIN((Table1[[#This Row],[taxable wages]]-3000)*0.15,1000*num_kids_16_younger),0)</f>
        <v>5000</v>
      </c>
      <c r="P311" s="9">
        <f>IF(Table1[[#This Row],[Effective Child Tax Credit]]&gt;Table1[[#This Row],[Regular Taxes Owed]],Table1[[#This Row],[Additional Child Tax Credit ]]-Table1[[#This Row],[Regular Taxes Owed]],0)</f>
        <v>0</v>
      </c>
      <c r="Q3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1" s="1">
        <f>Table1[[#This Row],[Effective Additional Child Tax Credit]]+Table1[[#This Row],[Eitc]]</f>
        <v>0</v>
      </c>
      <c r="S311" s="9">
        <f>Table1[[#This Row],[Regular Taxes Owed - Effective Child Tax Credit]]-Table1[[#This Row],[Total Credits]]</f>
        <v>11905</v>
      </c>
      <c r="T311" s="9">
        <f>Table1[[#This Row],[taxable wages]]+interest+dividends+short_term_capital_gains+long_term_capital_gains-(charitable_donations+mortgage_interest)</f>
        <v>137000</v>
      </c>
      <c r="U311" s="9">
        <f>MAX(amt_exemption-amt_exemption_phase_out_rate*MAX(Table1[[#This Row],[taxable wages]]-amt_phase_out_begins,0),0)</f>
        <v>83800</v>
      </c>
      <c r="V3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13832</v>
      </c>
      <c r="W311" s="1">
        <f>IF(AND(Table1[[#This Row],[AMT Taxes]]&gt;Table1[[#This Row],[Regular Taxes Owed]],Table1[[#This Row],[AMT Taxes]]&gt;0),Table1[[#This Row],[AMT Taxes]]-Table1[[#This Row],[Regular Taxes Owed]],0)</f>
        <v>0</v>
      </c>
      <c r="X311" s="9">
        <f>Table1[[#This Row],[Extra Taxes From Amt]]+Table1[[#This Row],[Federal Taxes Owed (No AMT)]]</f>
        <v>11905</v>
      </c>
      <c r="Y311" s="9">
        <f>IF(Table1[[#This Row],[taxable wages]]&gt;obamacare_surcharge_amount,obamacare_surcharge_percent*(Table1[[#This Row],[taxable wages]]-obamacare_surcharge_amount),0)</f>
        <v>0</v>
      </c>
      <c r="Z311" s="9">
        <f>Table1[[#This Row],[Federal Taxes Owed (Includes AMT)]]+Table1[[#This Row],[Obamacare surcharge premium]]</f>
        <v>11905</v>
      </c>
      <c r="AA311" s="9">
        <f>Table1[[#This Row],[taxable wages]]-Table1[[#This Row],[Federal Taxes Owed2]]</f>
        <v>125095</v>
      </c>
      <c r="AB311" s="51">
        <f t="shared" si="31"/>
        <v>0.3</v>
      </c>
      <c r="AC311" s="41"/>
      <c r="AD311" s="13"/>
      <c r="AE311" s="13"/>
    </row>
    <row r="312" spans="2:31" x14ac:dyDescent="0.3">
      <c r="B312" s="41">
        <f t="shared" si="32"/>
        <v>137500</v>
      </c>
      <c r="C312" s="1">
        <f>Table1[[#This Row],[taxable wages]]</f>
        <v>137500</v>
      </c>
      <c r="D312" s="1">
        <f>Table1[[#This Row],[taxable wages]]+interest+dividends+short_term_capital_gains+long_term_capital_gains</f>
        <v>137500</v>
      </c>
      <c r="E312" s="1">
        <f>MAX(Table1[[#This Row],[earned income for EITC]:[Agi For Eitc Calc]])</f>
        <v>137500</v>
      </c>
      <c r="F312" s="1">
        <f>Table1[[#This Row],[taxable wages]]+interest+dividends+short_term_capital_gains+long_term_capital_gains-(trad_ira_contributions+MIN(student_loan_interest_cap,student_loan_interest))</f>
        <v>137500</v>
      </c>
      <c r="G312" s="1">
        <f t="shared" si="28"/>
        <v>12600</v>
      </c>
      <c r="H312" s="1">
        <f t="shared" si="29"/>
        <v>28350</v>
      </c>
      <c r="I312" s="1">
        <f>MAX(0,Table1[[#This Row],[Agi]]-Table1[[#This Row],[Exemptions]]-Table1[[#This Row],[Effective Deductions]])</f>
        <v>96550</v>
      </c>
      <c r="J3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15680</v>
      </c>
      <c r="K312" s="1">
        <f t="shared" si="30"/>
        <v>5000</v>
      </c>
      <c r="L312" s="1">
        <f>IF(Table1[[#This Row],[Agi]]&gt;ctc_phase_out_begins,ctc_phase_out_rate*(Table1[[#This Row],[Agi]]-ctc_phase_out_begins),0)</f>
        <v>1375</v>
      </c>
      <c r="M312" s="1">
        <f>MAX(Table1[[#This Row],[Child Tax Credit]]-Table1[[#This Row],[Child Tax Credit Phase Out]],0)</f>
        <v>3625</v>
      </c>
      <c r="N312" s="1">
        <f>MAX(Table1[[#This Row],[Regular Taxes Owed]]-Table1[[#This Row],[Effective Child Tax Credit]],0)</f>
        <v>12055</v>
      </c>
      <c r="O312" s="1">
        <f>MAX(MIN((Table1[[#This Row],[taxable wages]]-3000)*0.15,1000*num_kids_16_younger),0)</f>
        <v>5000</v>
      </c>
      <c r="P312" s="9">
        <f>IF(Table1[[#This Row],[Effective Child Tax Credit]]&gt;Table1[[#This Row],[Regular Taxes Owed]],Table1[[#This Row],[Additional Child Tax Credit ]]-Table1[[#This Row],[Regular Taxes Owed]],0)</f>
        <v>0</v>
      </c>
      <c r="Q3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2" s="1">
        <f>Table1[[#This Row],[Effective Additional Child Tax Credit]]+Table1[[#This Row],[Eitc]]</f>
        <v>0</v>
      </c>
      <c r="S312" s="9">
        <f>Table1[[#This Row],[Regular Taxes Owed - Effective Child Tax Credit]]-Table1[[#This Row],[Total Credits]]</f>
        <v>12055</v>
      </c>
      <c r="T312" s="9">
        <f>Table1[[#This Row],[taxable wages]]+interest+dividends+short_term_capital_gains+long_term_capital_gains-(charitable_donations+mortgage_interest)</f>
        <v>137500</v>
      </c>
      <c r="U312" s="9">
        <f>MAX(amt_exemption-amt_exemption_phase_out_rate*MAX(Table1[[#This Row],[taxable wages]]-amt_phase_out_begins,0),0)</f>
        <v>83800</v>
      </c>
      <c r="V3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13962</v>
      </c>
      <c r="W312" s="1">
        <f>IF(AND(Table1[[#This Row],[AMT Taxes]]&gt;Table1[[#This Row],[Regular Taxes Owed]],Table1[[#This Row],[AMT Taxes]]&gt;0),Table1[[#This Row],[AMT Taxes]]-Table1[[#This Row],[Regular Taxes Owed]],0)</f>
        <v>0</v>
      </c>
      <c r="X312" s="9">
        <f>Table1[[#This Row],[Extra Taxes From Amt]]+Table1[[#This Row],[Federal Taxes Owed (No AMT)]]</f>
        <v>12055</v>
      </c>
      <c r="Y312" s="9">
        <f>IF(Table1[[#This Row],[taxable wages]]&gt;obamacare_surcharge_amount,obamacare_surcharge_percent*(Table1[[#This Row],[taxable wages]]-obamacare_surcharge_amount),0)</f>
        <v>0</v>
      </c>
      <c r="Z312" s="9">
        <f>Table1[[#This Row],[Federal Taxes Owed (Includes AMT)]]+Table1[[#This Row],[Obamacare surcharge premium]]</f>
        <v>12055</v>
      </c>
      <c r="AA312" s="9">
        <f>Table1[[#This Row],[taxable wages]]-Table1[[#This Row],[Federal Taxes Owed2]]</f>
        <v>125445</v>
      </c>
      <c r="AB312" s="51">
        <f t="shared" si="31"/>
        <v>0.3</v>
      </c>
      <c r="AC312" s="41"/>
      <c r="AD312" s="13"/>
      <c r="AE312" s="13"/>
    </row>
    <row r="313" spans="2:31" x14ac:dyDescent="0.3">
      <c r="B313" s="41">
        <f t="shared" si="32"/>
        <v>138000</v>
      </c>
      <c r="C313" s="1">
        <f>Table1[[#This Row],[taxable wages]]</f>
        <v>138000</v>
      </c>
      <c r="D313" s="1">
        <f>Table1[[#This Row],[taxable wages]]+interest+dividends+short_term_capital_gains+long_term_capital_gains</f>
        <v>138000</v>
      </c>
      <c r="E313" s="1">
        <f>MAX(Table1[[#This Row],[earned income for EITC]:[Agi For Eitc Calc]])</f>
        <v>138000</v>
      </c>
      <c r="F313" s="1">
        <f>Table1[[#This Row],[taxable wages]]+interest+dividends+short_term_capital_gains+long_term_capital_gains-(trad_ira_contributions+MIN(student_loan_interest_cap,student_loan_interest))</f>
        <v>138000</v>
      </c>
      <c r="G313" s="1">
        <f t="shared" si="28"/>
        <v>12600</v>
      </c>
      <c r="H313" s="1">
        <f t="shared" si="29"/>
        <v>28350</v>
      </c>
      <c r="I313" s="1">
        <f>MAX(0,Table1[[#This Row],[Agi]]-Table1[[#This Row],[Exemptions]]-Table1[[#This Row],[Effective Deductions]])</f>
        <v>97050</v>
      </c>
      <c r="J3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15805</v>
      </c>
      <c r="K313" s="1">
        <f t="shared" si="30"/>
        <v>5000</v>
      </c>
      <c r="L313" s="1">
        <f>IF(Table1[[#This Row],[Agi]]&gt;ctc_phase_out_begins,ctc_phase_out_rate*(Table1[[#This Row],[Agi]]-ctc_phase_out_begins),0)</f>
        <v>1400</v>
      </c>
      <c r="M313" s="1">
        <f>MAX(Table1[[#This Row],[Child Tax Credit]]-Table1[[#This Row],[Child Tax Credit Phase Out]],0)</f>
        <v>3600</v>
      </c>
      <c r="N313" s="1">
        <f>MAX(Table1[[#This Row],[Regular Taxes Owed]]-Table1[[#This Row],[Effective Child Tax Credit]],0)</f>
        <v>12205</v>
      </c>
      <c r="O313" s="1">
        <f>MAX(MIN((Table1[[#This Row],[taxable wages]]-3000)*0.15,1000*num_kids_16_younger),0)</f>
        <v>5000</v>
      </c>
      <c r="P313" s="9">
        <f>IF(Table1[[#This Row],[Effective Child Tax Credit]]&gt;Table1[[#This Row],[Regular Taxes Owed]],Table1[[#This Row],[Additional Child Tax Credit ]]-Table1[[#This Row],[Regular Taxes Owed]],0)</f>
        <v>0</v>
      </c>
      <c r="Q3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3" s="1">
        <f>Table1[[#This Row],[Effective Additional Child Tax Credit]]+Table1[[#This Row],[Eitc]]</f>
        <v>0</v>
      </c>
      <c r="S313" s="9">
        <f>Table1[[#This Row],[Regular Taxes Owed - Effective Child Tax Credit]]-Table1[[#This Row],[Total Credits]]</f>
        <v>12205</v>
      </c>
      <c r="T313" s="9">
        <f>Table1[[#This Row],[taxable wages]]+interest+dividends+short_term_capital_gains+long_term_capital_gains-(charitable_donations+mortgage_interest)</f>
        <v>138000</v>
      </c>
      <c r="U313" s="9">
        <f>MAX(amt_exemption-amt_exemption_phase_out_rate*MAX(Table1[[#This Row],[taxable wages]]-amt_phase_out_begins,0),0)</f>
        <v>83800</v>
      </c>
      <c r="V3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14092</v>
      </c>
      <c r="W313" s="1">
        <f>IF(AND(Table1[[#This Row],[AMT Taxes]]&gt;Table1[[#This Row],[Regular Taxes Owed]],Table1[[#This Row],[AMT Taxes]]&gt;0),Table1[[#This Row],[AMT Taxes]]-Table1[[#This Row],[Regular Taxes Owed]],0)</f>
        <v>0</v>
      </c>
      <c r="X313" s="9">
        <f>Table1[[#This Row],[Extra Taxes From Amt]]+Table1[[#This Row],[Federal Taxes Owed (No AMT)]]</f>
        <v>12205</v>
      </c>
      <c r="Y313" s="9">
        <f>IF(Table1[[#This Row],[taxable wages]]&gt;obamacare_surcharge_amount,obamacare_surcharge_percent*(Table1[[#This Row],[taxable wages]]-obamacare_surcharge_amount),0)</f>
        <v>0</v>
      </c>
      <c r="Z313" s="9">
        <f>Table1[[#This Row],[Federal Taxes Owed (Includes AMT)]]+Table1[[#This Row],[Obamacare surcharge premium]]</f>
        <v>12205</v>
      </c>
      <c r="AA313" s="9">
        <f>Table1[[#This Row],[taxable wages]]-Table1[[#This Row],[Federal Taxes Owed2]]</f>
        <v>125795</v>
      </c>
      <c r="AB313" s="51">
        <f t="shared" si="31"/>
        <v>0.3</v>
      </c>
      <c r="AC313" s="41"/>
      <c r="AD313" s="13"/>
      <c r="AE313" s="13"/>
    </row>
    <row r="314" spans="2:31" x14ac:dyDescent="0.3">
      <c r="B314" s="41">
        <f t="shared" si="32"/>
        <v>138500</v>
      </c>
      <c r="C314" s="1">
        <f>Table1[[#This Row],[taxable wages]]</f>
        <v>138500</v>
      </c>
      <c r="D314" s="1">
        <f>Table1[[#This Row],[taxable wages]]+interest+dividends+short_term_capital_gains+long_term_capital_gains</f>
        <v>138500</v>
      </c>
      <c r="E314" s="1">
        <f>MAX(Table1[[#This Row],[earned income for EITC]:[Agi For Eitc Calc]])</f>
        <v>138500</v>
      </c>
      <c r="F314" s="1">
        <f>Table1[[#This Row],[taxable wages]]+interest+dividends+short_term_capital_gains+long_term_capital_gains-(trad_ira_contributions+MIN(student_loan_interest_cap,student_loan_interest))</f>
        <v>138500</v>
      </c>
      <c r="G314" s="1">
        <f t="shared" si="28"/>
        <v>12600</v>
      </c>
      <c r="H314" s="1">
        <f t="shared" si="29"/>
        <v>28350</v>
      </c>
      <c r="I314" s="1">
        <f>MAX(0,Table1[[#This Row],[Agi]]-Table1[[#This Row],[Exemptions]]-Table1[[#This Row],[Effective Deductions]])</f>
        <v>97550</v>
      </c>
      <c r="J3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15930</v>
      </c>
      <c r="K314" s="1">
        <f t="shared" si="30"/>
        <v>5000</v>
      </c>
      <c r="L314" s="1">
        <f>IF(Table1[[#This Row],[Agi]]&gt;ctc_phase_out_begins,ctc_phase_out_rate*(Table1[[#This Row],[Agi]]-ctc_phase_out_begins),0)</f>
        <v>1425</v>
      </c>
      <c r="M314" s="1">
        <f>MAX(Table1[[#This Row],[Child Tax Credit]]-Table1[[#This Row],[Child Tax Credit Phase Out]],0)</f>
        <v>3575</v>
      </c>
      <c r="N314" s="1">
        <f>MAX(Table1[[#This Row],[Regular Taxes Owed]]-Table1[[#This Row],[Effective Child Tax Credit]],0)</f>
        <v>12355</v>
      </c>
      <c r="O314" s="1">
        <f>MAX(MIN((Table1[[#This Row],[taxable wages]]-3000)*0.15,1000*num_kids_16_younger),0)</f>
        <v>5000</v>
      </c>
      <c r="P314" s="9">
        <f>IF(Table1[[#This Row],[Effective Child Tax Credit]]&gt;Table1[[#This Row],[Regular Taxes Owed]],Table1[[#This Row],[Additional Child Tax Credit ]]-Table1[[#This Row],[Regular Taxes Owed]],0)</f>
        <v>0</v>
      </c>
      <c r="Q3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4" s="1">
        <f>Table1[[#This Row],[Effective Additional Child Tax Credit]]+Table1[[#This Row],[Eitc]]</f>
        <v>0</v>
      </c>
      <c r="S314" s="9">
        <f>Table1[[#This Row],[Regular Taxes Owed - Effective Child Tax Credit]]-Table1[[#This Row],[Total Credits]]</f>
        <v>12355</v>
      </c>
      <c r="T314" s="9">
        <f>Table1[[#This Row],[taxable wages]]+interest+dividends+short_term_capital_gains+long_term_capital_gains-(charitable_donations+mortgage_interest)</f>
        <v>138500</v>
      </c>
      <c r="U314" s="9">
        <f>MAX(amt_exemption-amt_exemption_phase_out_rate*MAX(Table1[[#This Row],[taxable wages]]-amt_phase_out_begins,0),0)</f>
        <v>83800</v>
      </c>
      <c r="V3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14222</v>
      </c>
      <c r="W314" s="1">
        <f>IF(AND(Table1[[#This Row],[AMT Taxes]]&gt;Table1[[#This Row],[Regular Taxes Owed]],Table1[[#This Row],[AMT Taxes]]&gt;0),Table1[[#This Row],[AMT Taxes]]-Table1[[#This Row],[Regular Taxes Owed]],0)</f>
        <v>0</v>
      </c>
      <c r="X314" s="9">
        <f>Table1[[#This Row],[Extra Taxes From Amt]]+Table1[[#This Row],[Federal Taxes Owed (No AMT)]]</f>
        <v>12355</v>
      </c>
      <c r="Y314" s="9">
        <f>IF(Table1[[#This Row],[taxable wages]]&gt;obamacare_surcharge_amount,obamacare_surcharge_percent*(Table1[[#This Row],[taxable wages]]-obamacare_surcharge_amount),0)</f>
        <v>0</v>
      </c>
      <c r="Z314" s="9">
        <f>Table1[[#This Row],[Federal Taxes Owed (Includes AMT)]]+Table1[[#This Row],[Obamacare surcharge premium]]</f>
        <v>12355</v>
      </c>
      <c r="AA314" s="9">
        <f>Table1[[#This Row],[taxable wages]]-Table1[[#This Row],[Federal Taxes Owed2]]</f>
        <v>126145</v>
      </c>
      <c r="AB314" s="51">
        <f t="shared" si="31"/>
        <v>0.3</v>
      </c>
      <c r="AC314" s="41"/>
      <c r="AD314" s="13"/>
      <c r="AE314" s="13"/>
    </row>
    <row r="315" spans="2:31" x14ac:dyDescent="0.3">
      <c r="B315" s="41">
        <f t="shared" si="32"/>
        <v>139000</v>
      </c>
      <c r="C315" s="1">
        <f>Table1[[#This Row],[taxable wages]]</f>
        <v>139000</v>
      </c>
      <c r="D315" s="1">
        <f>Table1[[#This Row],[taxable wages]]+interest+dividends+short_term_capital_gains+long_term_capital_gains</f>
        <v>139000</v>
      </c>
      <c r="E315" s="1">
        <f>MAX(Table1[[#This Row],[earned income for EITC]:[Agi For Eitc Calc]])</f>
        <v>139000</v>
      </c>
      <c r="F315" s="1">
        <f>Table1[[#This Row],[taxable wages]]+interest+dividends+short_term_capital_gains+long_term_capital_gains-(trad_ira_contributions+MIN(student_loan_interest_cap,student_loan_interest))</f>
        <v>139000</v>
      </c>
      <c r="G315" s="1">
        <f t="shared" si="28"/>
        <v>12600</v>
      </c>
      <c r="H315" s="1">
        <f t="shared" si="29"/>
        <v>28350</v>
      </c>
      <c r="I315" s="1">
        <f>MAX(0,Table1[[#This Row],[Agi]]-Table1[[#This Row],[Exemptions]]-Table1[[#This Row],[Effective Deductions]])</f>
        <v>98050</v>
      </c>
      <c r="J3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16055</v>
      </c>
      <c r="K315" s="1">
        <f t="shared" si="30"/>
        <v>5000</v>
      </c>
      <c r="L315" s="1">
        <f>IF(Table1[[#This Row],[Agi]]&gt;ctc_phase_out_begins,ctc_phase_out_rate*(Table1[[#This Row],[Agi]]-ctc_phase_out_begins),0)</f>
        <v>1450</v>
      </c>
      <c r="M315" s="1">
        <f>MAX(Table1[[#This Row],[Child Tax Credit]]-Table1[[#This Row],[Child Tax Credit Phase Out]],0)</f>
        <v>3550</v>
      </c>
      <c r="N315" s="1">
        <f>MAX(Table1[[#This Row],[Regular Taxes Owed]]-Table1[[#This Row],[Effective Child Tax Credit]],0)</f>
        <v>12505</v>
      </c>
      <c r="O315" s="1">
        <f>MAX(MIN((Table1[[#This Row],[taxable wages]]-3000)*0.15,1000*num_kids_16_younger),0)</f>
        <v>5000</v>
      </c>
      <c r="P315" s="9">
        <f>IF(Table1[[#This Row],[Effective Child Tax Credit]]&gt;Table1[[#This Row],[Regular Taxes Owed]],Table1[[#This Row],[Additional Child Tax Credit ]]-Table1[[#This Row],[Regular Taxes Owed]],0)</f>
        <v>0</v>
      </c>
      <c r="Q3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5" s="1">
        <f>Table1[[#This Row],[Effective Additional Child Tax Credit]]+Table1[[#This Row],[Eitc]]</f>
        <v>0</v>
      </c>
      <c r="S315" s="9">
        <f>Table1[[#This Row],[Regular Taxes Owed - Effective Child Tax Credit]]-Table1[[#This Row],[Total Credits]]</f>
        <v>12505</v>
      </c>
      <c r="T315" s="9">
        <f>Table1[[#This Row],[taxable wages]]+interest+dividends+short_term_capital_gains+long_term_capital_gains-(charitable_donations+mortgage_interest)</f>
        <v>139000</v>
      </c>
      <c r="U315" s="9">
        <f>MAX(amt_exemption-amt_exemption_phase_out_rate*MAX(Table1[[#This Row],[taxable wages]]-amt_phase_out_begins,0),0)</f>
        <v>83800</v>
      </c>
      <c r="V3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14352</v>
      </c>
      <c r="W315" s="1">
        <f>IF(AND(Table1[[#This Row],[AMT Taxes]]&gt;Table1[[#This Row],[Regular Taxes Owed]],Table1[[#This Row],[AMT Taxes]]&gt;0),Table1[[#This Row],[AMT Taxes]]-Table1[[#This Row],[Regular Taxes Owed]],0)</f>
        <v>0</v>
      </c>
      <c r="X315" s="9">
        <f>Table1[[#This Row],[Extra Taxes From Amt]]+Table1[[#This Row],[Federal Taxes Owed (No AMT)]]</f>
        <v>12505</v>
      </c>
      <c r="Y315" s="9">
        <f>IF(Table1[[#This Row],[taxable wages]]&gt;obamacare_surcharge_amount,obamacare_surcharge_percent*(Table1[[#This Row],[taxable wages]]-obamacare_surcharge_amount),0)</f>
        <v>0</v>
      </c>
      <c r="Z315" s="9">
        <f>Table1[[#This Row],[Federal Taxes Owed (Includes AMT)]]+Table1[[#This Row],[Obamacare surcharge premium]]</f>
        <v>12505</v>
      </c>
      <c r="AA315" s="9">
        <f>Table1[[#This Row],[taxable wages]]-Table1[[#This Row],[Federal Taxes Owed2]]</f>
        <v>126495</v>
      </c>
      <c r="AB315" s="51">
        <f t="shared" si="31"/>
        <v>0.3</v>
      </c>
      <c r="AC315" s="41"/>
      <c r="AD315" s="13"/>
      <c r="AE315" s="13"/>
    </row>
    <row r="316" spans="2:31" x14ac:dyDescent="0.3">
      <c r="B316" s="41">
        <f t="shared" si="32"/>
        <v>139500</v>
      </c>
      <c r="C316" s="1">
        <f>Table1[[#This Row],[taxable wages]]</f>
        <v>139500</v>
      </c>
      <c r="D316" s="1">
        <f>Table1[[#This Row],[taxable wages]]+interest+dividends+short_term_capital_gains+long_term_capital_gains</f>
        <v>139500</v>
      </c>
      <c r="E316" s="1">
        <f>MAX(Table1[[#This Row],[earned income for EITC]:[Agi For Eitc Calc]])</f>
        <v>139500</v>
      </c>
      <c r="F316" s="1">
        <f>Table1[[#This Row],[taxable wages]]+interest+dividends+short_term_capital_gains+long_term_capital_gains-(trad_ira_contributions+MIN(student_loan_interest_cap,student_loan_interest))</f>
        <v>139500</v>
      </c>
      <c r="G316" s="1">
        <f t="shared" si="28"/>
        <v>12600</v>
      </c>
      <c r="H316" s="1">
        <f t="shared" si="29"/>
        <v>28350</v>
      </c>
      <c r="I316" s="1">
        <f>MAX(0,Table1[[#This Row],[Agi]]-Table1[[#This Row],[Exemptions]]-Table1[[#This Row],[Effective Deductions]])</f>
        <v>98550</v>
      </c>
      <c r="J3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16180</v>
      </c>
      <c r="K316" s="1">
        <f t="shared" si="30"/>
        <v>5000</v>
      </c>
      <c r="L316" s="1">
        <f>IF(Table1[[#This Row],[Agi]]&gt;ctc_phase_out_begins,ctc_phase_out_rate*(Table1[[#This Row],[Agi]]-ctc_phase_out_begins),0)</f>
        <v>1475</v>
      </c>
      <c r="M316" s="1">
        <f>MAX(Table1[[#This Row],[Child Tax Credit]]-Table1[[#This Row],[Child Tax Credit Phase Out]],0)</f>
        <v>3525</v>
      </c>
      <c r="N316" s="1">
        <f>MAX(Table1[[#This Row],[Regular Taxes Owed]]-Table1[[#This Row],[Effective Child Tax Credit]],0)</f>
        <v>12655</v>
      </c>
      <c r="O316" s="1">
        <f>MAX(MIN((Table1[[#This Row],[taxable wages]]-3000)*0.15,1000*num_kids_16_younger),0)</f>
        <v>5000</v>
      </c>
      <c r="P316" s="9">
        <f>IF(Table1[[#This Row],[Effective Child Tax Credit]]&gt;Table1[[#This Row],[Regular Taxes Owed]],Table1[[#This Row],[Additional Child Tax Credit ]]-Table1[[#This Row],[Regular Taxes Owed]],0)</f>
        <v>0</v>
      </c>
      <c r="Q3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6" s="1">
        <f>Table1[[#This Row],[Effective Additional Child Tax Credit]]+Table1[[#This Row],[Eitc]]</f>
        <v>0</v>
      </c>
      <c r="S316" s="9">
        <f>Table1[[#This Row],[Regular Taxes Owed - Effective Child Tax Credit]]-Table1[[#This Row],[Total Credits]]</f>
        <v>12655</v>
      </c>
      <c r="T316" s="9">
        <f>Table1[[#This Row],[taxable wages]]+interest+dividends+short_term_capital_gains+long_term_capital_gains-(charitable_donations+mortgage_interest)</f>
        <v>139500</v>
      </c>
      <c r="U316" s="9">
        <f>MAX(amt_exemption-amt_exemption_phase_out_rate*MAX(Table1[[#This Row],[taxable wages]]-amt_phase_out_begins,0),0)</f>
        <v>83800</v>
      </c>
      <c r="V3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14482</v>
      </c>
      <c r="W316" s="1">
        <f>IF(AND(Table1[[#This Row],[AMT Taxes]]&gt;Table1[[#This Row],[Regular Taxes Owed]],Table1[[#This Row],[AMT Taxes]]&gt;0),Table1[[#This Row],[AMT Taxes]]-Table1[[#This Row],[Regular Taxes Owed]],0)</f>
        <v>0</v>
      </c>
      <c r="X316" s="9">
        <f>Table1[[#This Row],[Extra Taxes From Amt]]+Table1[[#This Row],[Federal Taxes Owed (No AMT)]]</f>
        <v>12655</v>
      </c>
      <c r="Y316" s="9">
        <f>IF(Table1[[#This Row],[taxable wages]]&gt;obamacare_surcharge_amount,obamacare_surcharge_percent*(Table1[[#This Row],[taxable wages]]-obamacare_surcharge_amount),0)</f>
        <v>0</v>
      </c>
      <c r="Z316" s="9">
        <f>Table1[[#This Row],[Federal Taxes Owed (Includes AMT)]]+Table1[[#This Row],[Obamacare surcharge premium]]</f>
        <v>12655</v>
      </c>
      <c r="AA316" s="9">
        <f>Table1[[#This Row],[taxable wages]]-Table1[[#This Row],[Federal Taxes Owed2]]</f>
        <v>126845</v>
      </c>
      <c r="AB316" s="51">
        <f t="shared" si="31"/>
        <v>0.3</v>
      </c>
      <c r="AC316" s="41"/>
      <c r="AD316" s="13"/>
      <c r="AE316" s="13"/>
    </row>
    <row r="317" spans="2:31" x14ac:dyDescent="0.3">
      <c r="B317" s="41">
        <f t="shared" si="32"/>
        <v>140000</v>
      </c>
      <c r="C317" s="1">
        <f>Table1[[#This Row],[taxable wages]]</f>
        <v>140000</v>
      </c>
      <c r="D317" s="1">
        <f>Table1[[#This Row],[taxable wages]]+interest+dividends+short_term_capital_gains+long_term_capital_gains</f>
        <v>140000</v>
      </c>
      <c r="E317" s="1">
        <f>MAX(Table1[[#This Row],[earned income for EITC]:[Agi For Eitc Calc]])</f>
        <v>140000</v>
      </c>
      <c r="F317" s="1">
        <f>Table1[[#This Row],[taxable wages]]+interest+dividends+short_term_capital_gains+long_term_capital_gains-(trad_ira_contributions+MIN(student_loan_interest_cap,student_loan_interest))</f>
        <v>140000</v>
      </c>
      <c r="G317" s="1">
        <f t="shared" si="28"/>
        <v>12600</v>
      </c>
      <c r="H317" s="1">
        <f t="shared" si="29"/>
        <v>28350</v>
      </c>
      <c r="I317" s="1">
        <f>MAX(0,Table1[[#This Row],[Agi]]-Table1[[#This Row],[Exemptions]]-Table1[[#This Row],[Effective Deductions]])</f>
        <v>99050</v>
      </c>
      <c r="J3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16305</v>
      </c>
      <c r="K317" s="1">
        <f t="shared" si="30"/>
        <v>5000</v>
      </c>
      <c r="L317" s="1">
        <f>IF(Table1[[#This Row],[Agi]]&gt;ctc_phase_out_begins,ctc_phase_out_rate*(Table1[[#This Row],[Agi]]-ctc_phase_out_begins),0)</f>
        <v>1500</v>
      </c>
      <c r="M317" s="1">
        <f>MAX(Table1[[#This Row],[Child Tax Credit]]-Table1[[#This Row],[Child Tax Credit Phase Out]],0)</f>
        <v>3500</v>
      </c>
      <c r="N317" s="1">
        <f>MAX(Table1[[#This Row],[Regular Taxes Owed]]-Table1[[#This Row],[Effective Child Tax Credit]],0)</f>
        <v>12805</v>
      </c>
      <c r="O317" s="1">
        <f>MAX(MIN((Table1[[#This Row],[taxable wages]]-3000)*0.15,1000*num_kids_16_younger),0)</f>
        <v>5000</v>
      </c>
      <c r="P317" s="9">
        <f>IF(Table1[[#This Row],[Effective Child Tax Credit]]&gt;Table1[[#This Row],[Regular Taxes Owed]],Table1[[#This Row],[Additional Child Tax Credit ]]-Table1[[#This Row],[Regular Taxes Owed]],0)</f>
        <v>0</v>
      </c>
      <c r="Q3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7" s="1">
        <f>Table1[[#This Row],[Effective Additional Child Tax Credit]]+Table1[[#This Row],[Eitc]]</f>
        <v>0</v>
      </c>
      <c r="S317" s="9">
        <f>Table1[[#This Row],[Regular Taxes Owed - Effective Child Tax Credit]]-Table1[[#This Row],[Total Credits]]</f>
        <v>12805</v>
      </c>
      <c r="T317" s="9">
        <f>Table1[[#This Row],[taxable wages]]+interest+dividends+short_term_capital_gains+long_term_capital_gains-(charitable_donations+mortgage_interest)</f>
        <v>140000</v>
      </c>
      <c r="U317" s="9">
        <f>MAX(amt_exemption-amt_exemption_phase_out_rate*MAX(Table1[[#This Row],[taxable wages]]-amt_phase_out_begins,0),0)</f>
        <v>83800</v>
      </c>
      <c r="V3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14612</v>
      </c>
      <c r="W317" s="1">
        <f>IF(AND(Table1[[#This Row],[AMT Taxes]]&gt;Table1[[#This Row],[Regular Taxes Owed]],Table1[[#This Row],[AMT Taxes]]&gt;0),Table1[[#This Row],[AMT Taxes]]-Table1[[#This Row],[Regular Taxes Owed]],0)</f>
        <v>0</v>
      </c>
      <c r="X317" s="9">
        <f>Table1[[#This Row],[Extra Taxes From Amt]]+Table1[[#This Row],[Federal Taxes Owed (No AMT)]]</f>
        <v>12805</v>
      </c>
      <c r="Y317" s="9">
        <f>IF(Table1[[#This Row],[taxable wages]]&gt;obamacare_surcharge_amount,obamacare_surcharge_percent*(Table1[[#This Row],[taxable wages]]-obamacare_surcharge_amount),0)</f>
        <v>0</v>
      </c>
      <c r="Z317" s="9">
        <f>Table1[[#This Row],[Federal Taxes Owed (Includes AMT)]]+Table1[[#This Row],[Obamacare surcharge premium]]</f>
        <v>12805</v>
      </c>
      <c r="AA317" s="9">
        <f>Table1[[#This Row],[taxable wages]]-Table1[[#This Row],[Federal Taxes Owed2]]</f>
        <v>127195</v>
      </c>
      <c r="AB317" s="51">
        <f t="shared" si="31"/>
        <v>0.3</v>
      </c>
      <c r="AC317" s="41"/>
      <c r="AD317" s="13"/>
      <c r="AE317" s="13"/>
    </row>
    <row r="318" spans="2:31" x14ac:dyDescent="0.3">
      <c r="B318" s="41">
        <f t="shared" si="32"/>
        <v>140500</v>
      </c>
      <c r="C318" s="1">
        <f>Table1[[#This Row],[taxable wages]]</f>
        <v>140500</v>
      </c>
      <c r="D318" s="1">
        <f>Table1[[#This Row],[taxable wages]]+interest+dividends+short_term_capital_gains+long_term_capital_gains</f>
        <v>140500</v>
      </c>
      <c r="E318" s="1">
        <f>MAX(Table1[[#This Row],[earned income for EITC]:[Agi For Eitc Calc]])</f>
        <v>140500</v>
      </c>
      <c r="F318" s="1">
        <f>Table1[[#This Row],[taxable wages]]+interest+dividends+short_term_capital_gains+long_term_capital_gains-(trad_ira_contributions+MIN(student_loan_interest_cap,student_loan_interest))</f>
        <v>140500</v>
      </c>
      <c r="G318" s="1">
        <f t="shared" si="28"/>
        <v>12600</v>
      </c>
      <c r="H318" s="1">
        <f t="shared" si="29"/>
        <v>28350</v>
      </c>
      <c r="I318" s="1">
        <f>MAX(0,Table1[[#This Row],[Agi]]-Table1[[#This Row],[Exemptions]]-Table1[[#This Row],[Effective Deductions]])</f>
        <v>99550</v>
      </c>
      <c r="J3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16430</v>
      </c>
      <c r="K318" s="1">
        <f t="shared" si="30"/>
        <v>5000</v>
      </c>
      <c r="L318" s="1">
        <f>IF(Table1[[#This Row],[Agi]]&gt;ctc_phase_out_begins,ctc_phase_out_rate*(Table1[[#This Row],[Agi]]-ctc_phase_out_begins),0)</f>
        <v>1525</v>
      </c>
      <c r="M318" s="1">
        <f>MAX(Table1[[#This Row],[Child Tax Credit]]-Table1[[#This Row],[Child Tax Credit Phase Out]],0)</f>
        <v>3475</v>
      </c>
      <c r="N318" s="1">
        <f>MAX(Table1[[#This Row],[Regular Taxes Owed]]-Table1[[#This Row],[Effective Child Tax Credit]],0)</f>
        <v>12955</v>
      </c>
      <c r="O318" s="1">
        <f>MAX(MIN((Table1[[#This Row],[taxable wages]]-3000)*0.15,1000*num_kids_16_younger),0)</f>
        <v>5000</v>
      </c>
      <c r="P318" s="9">
        <f>IF(Table1[[#This Row],[Effective Child Tax Credit]]&gt;Table1[[#This Row],[Regular Taxes Owed]],Table1[[#This Row],[Additional Child Tax Credit ]]-Table1[[#This Row],[Regular Taxes Owed]],0)</f>
        <v>0</v>
      </c>
      <c r="Q3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8" s="1">
        <f>Table1[[#This Row],[Effective Additional Child Tax Credit]]+Table1[[#This Row],[Eitc]]</f>
        <v>0</v>
      </c>
      <c r="S318" s="9">
        <f>Table1[[#This Row],[Regular Taxes Owed - Effective Child Tax Credit]]-Table1[[#This Row],[Total Credits]]</f>
        <v>12955</v>
      </c>
      <c r="T318" s="9">
        <f>Table1[[#This Row],[taxable wages]]+interest+dividends+short_term_capital_gains+long_term_capital_gains-(charitable_donations+mortgage_interest)</f>
        <v>140500</v>
      </c>
      <c r="U318" s="9">
        <f>MAX(amt_exemption-amt_exemption_phase_out_rate*MAX(Table1[[#This Row],[taxable wages]]-amt_phase_out_begins,0),0)</f>
        <v>83800</v>
      </c>
      <c r="V3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14742</v>
      </c>
      <c r="W318" s="1">
        <f>IF(AND(Table1[[#This Row],[AMT Taxes]]&gt;Table1[[#This Row],[Regular Taxes Owed]],Table1[[#This Row],[AMT Taxes]]&gt;0),Table1[[#This Row],[AMT Taxes]]-Table1[[#This Row],[Regular Taxes Owed]],0)</f>
        <v>0</v>
      </c>
      <c r="X318" s="9">
        <f>Table1[[#This Row],[Extra Taxes From Amt]]+Table1[[#This Row],[Federal Taxes Owed (No AMT)]]</f>
        <v>12955</v>
      </c>
      <c r="Y318" s="9">
        <f>IF(Table1[[#This Row],[taxable wages]]&gt;obamacare_surcharge_amount,obamacare_surcharge_percent*(Table1[[#This Row],[taxable wages]]-obamacare_surcharge_amount),0)</f>
        <v>0</v>
      </c>
      <c r="Z318" s="9">
        <f>Table1[[#This Row],[Federal Taxes Owed (Includes AMT)]]+Table1[[#This Row],[Obamacare surcharge premium]]</f>
        <v>12955</v>
      </c>
      <c r="AA318" s="9">
        <f>Table1[[#This Row],[taxable wages]]-Table1[[#This Row],[Federal Taxes Owed2]]</f>
        <v>127545</v>
      </c>
      <c r="AB318" s="51">
        <f t="shared" si="31"/>
        <v>0.3</v>
      </c>
      <c r="AC318" s="41"/>
      <c r="AD318" s="13"/>
      <c r="AE318" s="13"/>
    </row>
    <row r="319" spans="2:31" x14ac:dyDescent="0.3">
      <c r="B319" s="41">
        <f t="shared" si="32"/>
        <v>141000</v>
      </c>
      <c r="C319" s="1">
        <f>Table1[[#This Row],[taxable wages]]</f>
        <v>141000</v>
      </c>
      <c r="D319" s="1">
        <f>Table1[[#This Row],[taxable wages]]+interest+dividends+short_term_capital_gains+long_term_capital_gains</f>
        <v>141000</v>
      </c>
      <c r="E319" s="1">
        <f>MAX(Table1[[#This Row],[earned income for EITC]:[Agi For Eitc Calc]])</f>
        <v>141000</v>
      </c>
      <c r="F319" s="1">
        <f>Table1[[#This Row],[taxable wages]]+interest+dividends+short_term_capital_gains+long_term_capital_gains-(trad_ira_contributions+MIN(student_loan_interest_cap,student_loan_interest))</f>
        <v>141000</v>
      </c>
      <c r="G319" s="1">
        <f t="shared" si="28"/>
        <v>12600</v>
      </c>
      <c r="H319" s="1">
        <f t="shared" si="29"/>
        <v>28350</v>
      </c>
      <c r="I319" s="1">
        <f>MAX(0,Table1[[#This Row],[Agi]]-Table1[[#This Row],[Exemptions]]-Table1[[#This Row],[Effective Deductions]])</f>
        <v>100050</v>
      </c>
      <c r="J3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16555</v>
      </c>
      <c r="K319" s="1">
        <f t="shared" si="30"/>
        <v>5000</v>
      </c>
      <c r="L319" s="1">
        <f>IF(Table1[[#This Row],[Agi]]&gt;ctc_phase_out_begins,ctc_phase_out_rate*(Table1[[#This Row],[Agi]]-ctc_phase_out_begins),0)</f>
        <v>1550</v>
      </c>
      <c r="M319" s="1">
        <f>MAX(Table1[[#This Row],[Child Tax Credit]]-Table1[[#This Row],[Child Tax Credit Phase Out]],0)</f>
        <v>3450</v>
      </c>
      <c r="N319" s="1">
        <f>MAX(Table1[[#This Row],[Regular Taxes Owed]]-Table1[[#This Row],[Effective Child Tax Credit]],0)</f>
        <v>13105</v>
      </c>
      <c r="O319" s="1">
        <f>MAX(MIN((Table1[[#This Row],[taxable wages]]-3000)*0.15,1000*num_kids_16_younger),0)</f>
        <v>5000</v>
      </c>
      <c r="P319" s="9">
        <f>IF(Table1[[#This Row],[Effective Child Tax Credit]]&gt;Table1[[#This Row],[Regular Taxes Owed]],Table1[[#This Row],[Additional Child Tax Credit ]]-Table1[[#This Row],[Regular Taxes Owed]],0)</f>
        <v>0</v>
      </c>
      <c r="Q3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19" s="1">
        <f>Table1[[#This Row],[Effective Additional Child Tax Credit]]+Table1[[#This Row],[Eitc]]</f>
        <v>0</v>
      </c>
      <c r="S319" s="9">
        <f>Table1[[#This Row],[Regular Taxes Owed - Effective Child Tax Credit]]-Table1[[#This Row],[Total Credits]]</f>
        <v>13105</v>
      </c>
      <c r="T319" s="9">
        <f>Table1[[#This Row],[taxable wages]]+interest+dividends+short_term_capital_gains+long_term_capital_gains-(charitable_donations+mortgage_interest)</f>
        <v>141000</v>
      </c>
      <c r="U319" s="9">
        <f>MAX(amt_exemption-amt_exemption_phase_out_rate*MAX(Table1[[#This Row],[taxable wages]]-amt_phase_out_begins,0),0)</f>
        <v>83800</v>
      </c>
      <c r="V3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14872</v>
      </c>
      <c r="W319" s="1">
        <f>IF(AND(Table1[[#This Row],[AMT Taxes]]&gt;Table1[[#This Row],[Regular Taxes Owed]],Table1[[#This Row],[AMT Taxes]]&gt;0),Table1[[#This Row],[AMT Taxes]]-Table1[[#This Row],[Regular Taxes Owed]],0)</f>
        <v>0</v>
      </c>
      <c r="X319" s="9">
        <f>Table1[[#This Row],[Extra Taxes From Amt]]+Table1[[#This Row],[Federal Taxes Owed (No AMT)]]</f>
        <v>13105</v>
      </c>
      <c r="Y319" s="9">
        <f>IF(Table1[[#This Row],[taxable wages]]&gt;obamacare_surcharge_amount,obamacare_surcharge_percent*(Table1[[#This Row],[taxable wages]]-obamacare_surcharge_amount),0)</f>
        <v>0</v>
      </c>
      <c r="Z319" s="9">
        <f>Table1[[#This Row],[Federal Taxes Owed (Includes AMT)]]+Table1[[#This Row],[Obamacare surcharge premium]]</f>
        <v>13105</v>
      </c>
      <c r="AA319" s="9">
        <f>Table1[[#This Row],[taxable wages]]-Table1[[#This Row],[Federal Taxes Owed2]]</f>
        <v>127895</v>
      </c>
      <c r="AB319" s="51">
        <f t="shared" si="31"/>
        <v>0.3</v>
      </c>
      <c r="AC319" s="41"/>
      <c r="AD319" s="13"/>
      <c r="AE319" s="13"/>
    </row>
    <row r="320" spans="2:31" x14ac:dyDescent="0.3">
      <c r="B320" s="41">
        <f t="shared" si="32"/>
        <v>141500</v>
      </c>
      <c r="C320" s="1">
        <f>Table1[[#This Row],[taxable wages]]</f>
        <v>141500</v>
      </c>
      <c r="D320" s="1">
        <f>Table1[[#This Row],[taxable wages]]+interest+dividends+short_term_capital_gains+long_term_capital_gains</f>
        <v>141500</v>
      </c>
      <c r="E320" s="1">
        <f>MAX(Table1[[#This Row],[earned income for EITC]:[Agi For Eitc Calc]])</f>
        <v>141500</v>
      </c>
      <c r="F320" s="1">
        <f>Table1[[#This Row],[taxable wages]]+interest+dividends+short_term_capital_gains+long_term_capital_gains-(trad_ira_contributions+MIN(student_loan_interest_cap,student_loan_interest))</f>
        <v>141500</v>
      </c>
      <c r="G320" s="1">
        <f t="shared" si="28"/>
        <v>12600</v>
      </c>
      <c r="H320" s="1">
        <f t="shared" si="29"/>
        <v>28350</v>
      </c>
      <c r="I320" s="1">
        <f>MAX(0,Table1[[#This Row],[Agi]]-Table1[[#This Row],[Exemptions]]-Table1[[#This Row],[Effective Deductions]])</f>
        <v>100550</v>
      </c>
      <c r="J3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16680</v>
      </c>
      <c r="K320" s="1">
        <f t="shared" si="30"/>
        <v>5000</v>
      </c>
      <c r="L320" s="1">
        <f>IF(Table1[[#This Row],[Agi]]&gt;ctc_phase_out_begins,ctc_phase_out_rate*(Table1[[#This Row],[Agi]]-ctc_phase_out_begins),0)</f>
        <v>1575</v>
      </c>
      <c r="M320" s="1">
        <f>MAX(Table1[[#This Row],[Child Tax Credit]]-Table1[[#This Row],[Child Tax Credit Phase Out]],0)</f>
        <v>3425</v>
      </c>
      <c r="N320" s="1">
        <f>MAX(Table1[[#This Row],[Regular Taxes Owed]]-Table1[[#This Row],[Effective Child Tax Credit]],0)</f>
        <v>13255</v>
      </c>
      <c r="O320" s="1">
        <f>MAX(MIN((Table1[[#This Row],[taxable wages]]-3000)*0.15,1000*num_kids_16_younger),0)</f>
        <v>5000</v>
      </c>
      <c r="P320" s="9">
        <f>IF(Table1[[#This Row],[Effective Child Tax Credit]]&gt;Table1[[#This Row],[Regular Taxes Owed]],Table1[[#This Row],[Additional Child Tax Credit ]]-Table1[[#This Row],[Regular Taxes Owed]],0)</f>
        <v>0</v>
      </c>
      <c r="Q3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0" s="1">
        <f>Table1[[#This Row],[Effective Additional Child Tax Credit]]+Table1[[#This Row],[Eitc]]</f>
        <v>0</v>
      </c>
      <c r="S320" s="9">
        <f>Table1[[#This Row],[Regular Taxes Owed - Effective Child Tax Credit]]-Table1[[#This Row],[Total Credits]]</f>
        <v>13255</v>
      </c>
      <c r="T320" s="9">
        <f>Table1[[#This Row],[taxable wages]]+interest+dividends+short_term_capital_gains+long_term_capital_gains-(charitable_donations+mortgage_interest)</f>
        <v>141500</v>
      </c>
      <c r="U320" s="9">
        <f>MAX(amt_exemption-amt_exemption_phase_out_rate*MAX(Table1[[#This Row],[taxable wages]]-amt_phase_out_begins,0),0)</f>
        <v>83800</v>
      </c>
      <c r="V3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15002</v>
      </c>
      <c r="W320" s="1">
        <f>IF(AND(Table1[[#This Row],[AMT Taxes]]&gt;Table1[[#This Row],[Regular Taxes Owed]],Table1[[#This Row],[AMT Taxes]]&gt;0),Table1[[#This Row],[AMT Taxes]]-Table1[[#This Row],[Regular Taxes Owed]],0)</f>
        <v>0</v>
      </c>
      <c r="X320" s="9">
        <f>Table1[[#This Row],[Extra Taxes From Amt]]+Table1[[#This Row],[Federal Taxes Owed (No AMT)]]</f>
        <v>13255</v>
      </c>
      <c r="Y320" s="9">
        <f>IF(Table1[[#This Row],[taxable wages]]&gt;obamacare_surcharge_amount,obamacare_surcharge_percent*(Table1[[#This Row],[taxable wages]]-obamacare_surcharge_amount),0)</f>
        <v>0</v>
      </c>
      <c r="Z320" s="9">
        <f>Table1[[#This Row],[Federal Taxes Owed (Includes AMT)]]+Table1[[#This Row],[Obamacare surcharge premium]]</f>
        <v>13255</v>
      </c>
      <c r="AA320" s="9">
        <f>Table1[[#This Row],[taxable wages]]-Table1[[#This Row],[Federal Taxes Owed2]]</f>
        <v>128245</v>
      </c>
      <c r="AB320" s="51">
        <f t="shared" si="31"/>
        <v>0.3</v>
      </c>
      <c r="AC320" s="41"/>
      <c r="AD320" s="13"/>
      <c r="AE320" s="13"/>
    </row>
    <row r="321" spans="2:31" x14ac:dyDescent="0.3">
      <c r="B321" s="41">
        <f t="shared" si="32"/>
        <v>142000</v>
      </c>
      <c r="C321" s="1">
        <f>Table1[[#This Row],[taxable wages]]</f>
        <v>142000</v>
      </c>
      <c r="D321" s="1">
        <f>Table1[[#This Row],[taxable wages]]+interest+dividends+short_term_capital_gains+long_term_capital_gains</f>
        <v>142000</v>
      </c>
      <c r="E321" s="1">
        <f>MAX(Table1[[#This Row],[earned income for EITC]:[Agi For Eitc Calc]])</f>
        <v>142000</v>
      </c>
      <c r="F321" s="1">
        <f>Table1[[#This Row],[taxable wages]]+interest+dividends+short_term_capital_gains+long_term_capital_gains-(trad_ira_contributions+MIN(student_loan_interest_cap,student_loan_interest))</f>
        <v>142000</v>
      </c>
      <c r="G321" s="1">
        <f t="shared" si="28"/>
        <v>12600</v>
      </c>
      <c r="H321" s="1">
        <f t="shared" si="29"/>
        <v>28350</v>
      </c>
      <c r="I321" s="1">
        <f>MAX(0,Table1[[#This Row],[Agi]]-Table1[[#This Row],[Exemptions]]-Table1[[#This Row],[Effective Deductions]])</f>
        <v>101050</v>
      </c>
      <c r="J3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16805</v>
      </c>
      <c r="K321" s="1">
        <f t="shared" si="30"/>
        <v>5000</v>
      </c>
      <c r="L321" s="1">
        <f>IF(Table1[[#This Row],[Agi]]&gt;ctc_phase_out_begins,ctc_phase_out_rate*(Table1[[#This Row],[Agi]]-ctc_phase_out_begins),0)</f>
        <v>1600</v>
      </c>
      <c r="M321" s="1">
        <f>MAX(Table1[[#This Row],[Child Tax Credit]]-Table1[[#This Row],[Child Tax Credit Phase Out]],0)</f>
        <v>3400</v>
      </c>
      <c r="N321" s="1">
        <f>MAX(Table1[[#This Row],[Regular Taxes Owed]]-Table1[[#This Row],[Effective Child Tax Credit]],0)</f>
        <v>13405</v>
      </c>
      <c r="O321" s="1">
        <f>MAX(MIN((Table1[[#This Row],[taxable wages]]-3000)*0.15,1000*num_kids_16_younger),0)</f>
        <v>5000</v>
      </c>
      <c r="P321" s="9">
        <f>IF(Table1[[#This Row],[Effective Child Tax Credit]]&gt;Table1[[#This Row],[Regular Taxes Owed]],Table1[[#This Row],[Additional Child Tax Credit ]]-Table1[[#This Row],[Regular Taxes Owed]],0)</f>
        <v>0</v>
      </c>
      <c r="Q3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1" s="1">
        <f>Table1[[#This Row],[Effective Additional Child Tax Credit]]+Table1[[#This Row],[Eitc]]</f>
        <v>0</v>
      </c>
      <c r="S321" s="9">
        <f>Table1[[#This Row],[Regular Taxes Owed - Effective Child Tax Credit]]-Table1[[#This Row],[Total Credits]]</f>
        <v>13405</v>
      </c>
      <c r="T321" s="9">
        <f>Table1[[#This Row],[taxable wages]]+interest+dividends+short_term_capital_gains+long_term_capital_gains-(charitable_donations+mortgage_interest)</f>
        <v>142000</v>
      </c>
      <c r="U321" s="9">
        <f>MAX(amt_exemption-amt_exemption_phase_out_rate*MAX(Table1[[#This Row],[taxable wages]]-amt_phase_out_begins,0),0)</f>
        <v>83800</v>
      </c>
      <c r="V3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15132</v>
      </c>
      <c r="W321" s="1">
        <f>IF(AND(Table1[[#This Row],[AMT Taxes]]&gt;Table1[[#This Row],[Regular Taxes Owed]],Table1[[#This Row],[AMT Taxes]]&gt;0),Table1[[#This Row],[AMT Taxes]]-Table1[[#This Row],[Regular Taxes Owed]],0)</f>
        <v>0</v>
      </c>
      <c r="X321" s="9">
        <f>Table1[[#This Row],[Extra Taxes From Amt]]+Table1[[#This Row],[Federal Taxes Owed (No AMT)]]</f>
        <v>13405</v>
      </c>
      <c r="Y321" s="9">
        <f>IF(Table1[[#This Row],[taxable wages]]&gt;obamacare_surcharge_amount,obamacare_surcharge_percent*(Table1[[#This Row],[taxable wages]]-obamacare_surcharge_amount),0)</f>
        <v>0</v>
      </c>
      <c r="Z321" s="9">
        <f>Table1[[#This Row],[Federal Taxes Owed (Includes AMT)]]+Table1[[#This Row],[Obamacare surcharge premium]]</f>
        <v>13405</v>
      </c>
      <c r="AA321" s="9">
        <f>Table1[[#This Row],[taxable wages]]-Table1[[#This Row],[Federal Taxes Owed2]]</f>
        <v>128595</v>
      </c>
      <c r="AB321" s="51">
        <f t="shared" si="31"/>
        <v>0.3</v>
      </c>
      <c r="AC321" s="41"/>
      <c r="AD321" s="13"/>
      <c r="AE321" s="13"/>
    </row>
    <row r="322" spans="2:31" x14ac:dyDescent="0.3">
      <c r="B322" s="41">
        <f t="shared" si="32"/>
        <v>142500</v>
      </c>
      <c r="C322" s="1">
        <f>Table1[[#This Row],[taxable wages]]</f>
        <v>142500</v>
      </c>
      <c r="D322" s="1">
        <f>Table1[[#This Row],[taxable wages]]+interest+dividends+short_term_capital_gains+long_term_capital_gains</f>
        <v>142500</v>
      </c>
      <c r="E322" s="1">
        <f>MAX(Table1[[#This Row],[earned income for EITC]:[Agi For Eitc Calc]])</f>
        <v>142500</v>
      </c>
      <c r="F322" s="1">
        <f>Table1[[#This Row],[taxable wages]]+interest+dividends+short_term_capital_gains+long_term_capital_gains-(trad_ira_contributions+MIN(student_loan_interest_cap,student_loan_interest))</f>
        <v>142500</v>
      </c>
      <c r="G322" s="1">
        <f t="shared" si="28"/>
        <v>12600</v>
      </c>
      <c r="H322" s="1">
        <f t="shared" si="29"/>
        <v>28350</v>
      </c>
      <c r="I322" s="1">
        <f>MAX(0,Table1[[#This Row],[Agi]]-Table1[[#This Row],[Exemptions]]-Table1[[#This Row],[Effective Deductions]])</f>
        <v>101550</v>
      </c>
      <c r="J3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16930</v>
      </c>
      <c r="K322" s="1">
        <f t="shared" si="30"/>
        <v>5000</v>
      </c>
      <c r="L322" s="1">
        <f>IF(Table1[[#This Row],[Agi]]&gt;ctc_phase_out_begins,ctc_phase_out_rate*(Table1[[#This Row],[Agi]]-ctc_phase_out_begins),0)</f>
        <v>1625</v>
      </c>
      <c r="M322" s="1">
        <f>MAX(Table1[[#This Row],[Child Tax Credit]]-Table1[[#This Row],[Child Tax Credit Phase Out]],0)</f>
        <v>3375</v>
      </c>
      <c r="N322" s="1">
        <f>MAX(Table1[[#This Row],[Regular Taxes Owed]]-Table1[[#This Row],[Effective Child Tax Credit]],0)</f>
        <v>13555</v>
      </c>
      <c r="O322" s="1">
        <f>MAX(MIN((Table1[[#This Row],[taxable wages]]-3000)*0.15,1000*num_kids_16_younger),0)</f>
        <v>5000</v>
      </c>
      <c r="P322" s="9">
        <f>IF(Table1[[#This Row],[Effective Child Tax Credit]]&gt;Table1[[#This Row],[Regular Taxes Owed]],Table1[[#This Row],[Additional Child Tax Credit ]]-Table1[[#This Row],[Regular Taxes Owed]],0)</f>
        <v>0</v>
      </c>
      <c r="Q3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2" s="1">
        <f>Table1[[#This Row],[Effective Additional Child Tax Credit]]+Table1[[#This Row],[Eitc]]</f>
        <v>0</v>
      </c>
      <c r="S322" s="9">
        <f>Table1[[#This Row],[Regular Taxes Owed - Effective Child Tax Credit]]-Table1[[#This Row],[Total Credits]]</f>
        <v>13555</v>
      </c>
      <c r="T322" s="9">
        <f>Table1[[#This Row],[taxable wages]]+interest+dividends+short_term_capital_gains+long_term_capital_gains-(charitable_donations+mortgage_interest)</f>
        <v>142500</v>
      </c>
      <c r="U322" s="9">
        <f>MAX(amt_exemption-amt_exemption_phase_out_rate*MAX(Table1[[#This Row],[taxable wages]]-amt_phase_out_begins,0),0)</f>
        <v>83800</v>
      </c>
      <c r="V3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15262</v>
      </c>
      <c r="W322" s="1">
        <f>IF(AND(Table1[[#This Row],[AMT Taxes]]&gt;Table1[[#This Row],[Regular Taxes Owed]],Table1[[#This Row],[AMT Taxes]]&gt;0),Table1[[#This Row],[AMT Taxes]]-Table1[[#This Row],[Regular Taxes Owed]],0)</f>
        <v>0</v>
      </c>
      <c r="X322" s="9">
        <f>Table1[[#This Row],[Extra Taxes From Amt]]+Table1[[#This Row],[Federal Taxes Owed (No AMT)]]</f>
        <v>13555</v>
      </c>
      <c r="Y322" s="9">
        <f>IF(Table1[[#This Row],[taxable wages]]&gt;obamacare_surcharge_amount,obamacare_surcharge_percent*(Table1[[#This Row],[taxable wages]]-obamacare_surcharge_amount),0)</f>
        <v>0</v>
      </c>
      <c r="Z322" s="9">
        <f>Table1[[#This Row],[Federal Taxes Owed (Includes AMT)]]+Table1[[#This Row],[Obamacare surcharge premium]]</f>
        <v>13555</v>
      </c>
      <c r="AA322" s="9">
        <f>Table1[[#This Row],[taxable wages]]-Table1[[#This Row],[Federal Taxes Owed2]]</f>
        <v>128945</v>
      </c>
      <c r="AB322" s="51">
        <f t="shared" si="31"/>
        <v>0.3</v>
      </c>
      <c r="AC322" s="41"/>
      <c r="AD322" s="13"/>
      <c r="AE322" s="13"/>
    </row>
    <row r="323" spans="2:31" x14ac:dyDescent="0.3">
      <c r="B323" s="41">
        <f t="shared" si="32"/>
        <v>143000</v>
      </c>
      <c r="C323" s="1">
        <f>Table1[[#This Row],[taxable wages]]</f>
        <v>143000</v>
      </c>
      <c r="D323" s="1">
        <f>Table1[[#This Row],[taxable wages]]+interest+dividends+short_term_capital_gains+long_term_capital_gains</f>
        <v>143000</v>
      </c>
      <c r="E323" s="1">
        <f>MAX(Table1[[#This Row],[earned income for EITC]:[Agi For Eitc Calc]])</f>
        <v>143000</v>
      </c>
      <c r="F323" s="1">
        <f>Table1[[#This Row],[taxable wages]]+interest+dividends+short_term_capital_gains+long_term_capital_gains-(trad_ira_contributions+MIN(student_loan_interest_cap,student_loan_interest))</f>
        <v>143000</v>
      </c>
      <c r="G323" s="1">
        <f t="shared" si="28"/>
        <v>12600</v>
      </c>
      <c r="H323" s="1">
        <f t="shared" si="29"/>
        <v>28350</v>
      </c>
      <c r="I323" s="1">
        <f>MAX(0,Table1[[#This Row],[Agi]]-Table1[[#This Row],[Exemptions]]-Table1[[#This Row],[Effective Deductions]])</f>
        <v>102050</v>
      </c>
      <c r="J3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17055</v>
      </c>
      <c r="K323" s="1">
        <f t="shared" si="30"/>
        <v>5000</v>
      </c>
      <c r="L323" s="1">
        <f>IF(Table1[[#This Row],[Agi]]&gt;ctc_phase_out_begins,ctc_phase_out_rate*(Table1[[#This Row],[Agi]]-ctc_phase_out_begins),0)</f>
        <v>1650</v>
      </c>
      <c r="M323" s="1">
        <f>MAX(Table1[[#This Row],[Child Tax Credit]]-Table1[[#This Row],[Child Tax Credit Phase Out]],0)</f>
        <v>3350</v>
      </c>
      <c r="N323" s="1">
        <f>MAX(Table1[[#This Row],[Regular Taxes Owed]]-Table1[[#This Row],[Effective Child Tax Credit]],0)</f>
        <v>13705</v>
      </c>
      <c r="O323" s="1">
        <f>MAX(MIN((Table1[[#This Row],[taxable wages]]-3000)*0.15,1000*num_kids_16_younger),0)</f>
        <v>5000</v>
      </c>
      <c r="P323" s="9">
        <f>IF(Table1[[#This Row],[Effective Child Tax Credit]]&gt;Table1[[#This Row],[Regular Taxes Owed]],Table1[[#This Row],[Additional Child Tax Credit ]]-Table1[[#This Row],[Regular Taxes Owed]],0)</f>
        <v>0</v>
      </c>
      <c r="Q3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3" s="1">
        <f>Table1[[#This Row],[Effective Additional Child Tax Credit]]+Table1[[#This Row],[Eitc]]</f>
        <v>0</v>
      </c>
      <c r="S323" s="9">
        <f>Table1[[#This Row],[Regular Taxes Owed - Effective Child Tax Credit]]-Table1[[#This Row],[Total Credits]]</f>
        <v>13705</v>
      </c>
      <c r="T323" s="9">
        <f>Table1[[#This Row],[taxable wages]]+interest+dividends+short_term_capital_gains+long_term_capital_gains-(charitable_donations+mortgage_interest)</f>
        <v>143000</v>
      </c>
      <c r="U323" s="9">
        <f>MAX(amt_exemption-amt_exemption_phase_out_rate*MAX(Table1[[#This Row],[taxable wages]]-amt_phase_out_begins,0),0)</f>
        <v>83800</v>
      </c>
      <c r="V3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15392</v>
      </c>
      <c r="W323" s="1">
        <f>IF(AND(Table1[[#This Row],[AMT Taxes]]&gt;Table1[[#This Row],[Regular Taxes Owed]],Table1[[#This Row],[AMT Taxes]]&gt;0),Table1[[#This Row],[AMT Taxes]]-Table1[[#This Row],[Regular Taxes Owed]],0)</f>
        <v>0</v>
      </c>
      <c r="X323" s="9">
        <f>Table1[[#This Row],[Extra Taxes From Amt]]+Table1[[#This Row],[Federal Taxes Owed (No AMT)]]</f>
        <v>13705</v>
      </c>
      <c r="Y323" s="9">
        <f>IF(Table1[[#This Row],[taxable wages]]&gt;obamacare_surcharge_amount,obamacare_surcharge_percent*(Table1[[#This Row],[taxable wages]]-obamacare_surcharge_amount),0)</f>
        <v>0</v>
      </c>
      <c r="Z323" s="9">
        <f>Table1[[#This Row],[Federal Taxes Owed (Includes AMT)]]+Table1[[#This Row],[Obamacare surcharge premium]]</f>
        <v>13705</v>
      </c>
      <c r="AA323" s="9">
        <f>Table1[[#This Row],[taxable wages]]-Table1[[#This Row],[Federal Taxes Owed2]]</f>
        <v>129295</v>
      </c>
      <c r="AB323" s="51">
        <f t="shared" si="31"/>
        <v>0.3</v>
      </c>
      <c r="AC323" s="41"/>
      <c r="AD323" s="13"/>
      <c r="AE323" s="13"/>
    </row>
    <row r="324" spans="2:31" x14ac:dyDescent="0.3">
      <c r="B324" s="41">
        <f t="shared" si="32"/>
        <v>143500</v>
      </c>
      <c r="C324" s="1">
        <f>Table1[[#This Row],[taxable wages]]</f>
        <v>143500</v>
      </c>
      <c r="D324" s="1">
        <f>Table1[[#This Row],[taxable wages]]+interest+dividends+short_term_capital_gains+long_term_capital_gains</f>
        <v>143500</v>
      </c>
      <c r="E324" s="1">
        <f>MAX(Table1[[#This Row],[earned income for EITC]:[Agi For Eitc Calc]])</f>
        <v>143500</v>
      </c>
      <c r="F324" s="1">
        <f>Table1[[#This Row],[taxable wages]]+interest+dividends+short_term_capital_gains+long_term_capital_gains-(trad_ira_contributions+MIN(student_loan_interest_cap,student_loan_interest))</f>
        <v>143500</v>
      </c>
      <c r="G324" s="1">
        <f t="shared" si="28"/>
        <v>12600</v>
      </c>
      <c r="H324" s="1">
        <f t="shared" si="29"/>
        <v>28350</v>
      </c>
      <c r="I324" s="1">
        <f>MAX(0,Table1[[#This Row],[Agi]]-Table1[[#This Row],[Exemptions]]-Table1[[#This Row],[Effective Deductions]])</f>
        <v>102550</v>
      </c>
      <c r="J3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17180</v>
      </c>
      <c r="K324" s="1">
        <f t="shared" si="30"/>
        <v>5000</v>
      </c>
      <c r="L324" s="1">
        <f>IF(Table1[[#This Row],[Agi]]&gt;ctc_phase_out_begins,ctc_phase_out_rate*(Table1[[#This Row],[Agi]]-ctc_phase_out_begins),0)</f>
        <v>1675</v>
      </c>
      <c r="M324" s="1">
        <f>MAX(Table1[[#This Row],[Child Tax Credit]]-Table1[[#This Row],[Child Tax Credit Phase Out]],0)</f>
        <v>3325</v>
      </c>
      <c r="N324" s="1">
        <f>MAX(Table1[[#This Row],[Regular Taxes Owed]]-Table1[[#This Row],[Effective Child Tax Credit]],0)</f>
        <v>13855</v>
      </c>
      <c r="O324" s="1">
        <f>MAX(MIN((Table1[[#This Row],[taxable wages]]-3000)*0.15,1000*num_kids_16_younger),0)</f>
        <v>5000</v>
      </c>
      <c r="P324" s="9">
        <f>IF(Table1[[#This Row],[Effective Child Tax Credit]]&gt;Table1[[#This Row],[Regular Taxes Owed]],Table1[[#This Row],[Additional Child Tax Credit ]]-Table1[[#This Row],[Regular Taxes Owed]],0)</f>
        <v>0</v>
      </c>
      <c r="Q3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4" s="1">
        <f>Table1[[#This Row],[Effective Additional Child Tax Credit]]+Table1[[#This Row],[Eitc]]</f>
        <v>0</v>
      </c>
      <c r="S324" s="9">
        <f>Table1[[#This Row],[Regular Taxes Owed - Effective Child Tax Credit]]-Table1[[#This Row],[Total Credits]]</f>
        <v>13855</v>
      </c>
      <c r="T324" s="9">
        <f>Table1[[#This Row],[taxable wages]]+interest+dividends+short_term_capital_gains+long_term_capital_gains-(charitable_donations+mortgage_interest)</f>
        <v>143500</v>
      </c>
      <c r="U324" s="9">
        <f>MAX(amt_exemption-amt_exemption_phase_out_rate*MAX(Table1[[#This Row],[taxable wages]]-amt_phase_out_begins,0),0)</f>
        <v>83800</v>
      </c>
      <c r="V3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15522</v>
      </c>
      <c r="W324" s="1">
        <f>IF(AND(Table1[[#This Row],[AMT Taxes]]&gt;Table1[[#This Row],[Regular Taxes Owed]],Table1[[#This Row],[AMT Taxes]]&gt;0),Table1[[#This Row],[AMT Taxes]]-Table1[[#This Row],[Regular Taxes Owed]],0)</f>
        <v>0</v>
      </c>
      <c r="X324" s="9">
        <f>Table1[[#This Row],[Extra Taxes From Amt]]+Table1[[#This Row],[Federal Taxes Owed (No AMT)]]</f>
        <v>13855</v>
      </c>
      <c r="Y324" s="9">
        <f>IF(Table1[[#This Row],[taxable wages]]&gt;obamacare_surcharge_amount,obamacare_surcharge_percent*(Table1[[#This Row],[taxable wages]]-obamacare_surcharge_amount),0)</f>
        <v>0</v>
      </c>
      <c r="Z324" s="9">
        <f>Table1[[#This Row],[Federal Taxes Owed (Includes AMT)]]+Table1[[#This Row],[Obamacare surcharge premium]]</f>
        <v>13855</v>
      </c>
      <c r="AA324" s="9">
        <f>Table1[[#This Row],[taxable wages]]-Table1[[#This Row],[Federal Taxes Owed2]]</f>
        <v>129645</v>
      </c>
      <c r="AB324" s="51">
        <f t="shared" si="31"/>
        <v>0.3</v>
      </c>
      <c r="AC324" s="41"/>
      <c r="AD324" s="13"/>
      <c r="AE324" s="13"/>
    </row>
    <row r="325" spans="2:31" x14ac:dyDescent="0.3">
      <c r="B325" s="41">
        <f t="shared" si="32"/>
        <v>144000</v>
      </c>
      <c r="C325" s="1">
        <f>Table1[[#This Row],[taxable wages]]</f>
        <v>144000</v>
      </c>
      <c r="D325" s="1">
        <f>Table1[[#This Row],[taxable wages]]+interest+dividends+short_term_capital_gains+long_term_capital_gains</f>
        <v>144000</v>
      </c>
      <c r="E325" s="1">
        <f>MAX(Table1[[#This Row],[earned income for EITC]:[Agi For Eitc Calc]])</f>
        <v>144000</v>
      </c>
      <c r="F325" s="1">
        <f>Table1[[#This Row],[taxable wages]]+interest+dividends+short_term_capital_gains+long_term_capital_gains-(trad_ira_contributions+MIN(student_loan_interest_cap,student_loan_interest))</f>
        <v>144000</v>
      </c>
      <c r="G325" s="1">
        <f t="shared" si="28"/>
        <v>12600</v>
      </c>
      <c r="H325" s="1">
        <f t="shared" si="29"/>
        <v>28350</v>
      </c>
      <c r="I325" s="1">
        <f>MAX(0,Table1[[#This Row],[Agi]]-Table1[[#This Row],[Exemptions]]-Table1[[#This Row],[Effective Deductions]])</f>
        <v>103050</v>
      </c>
      <c r="J3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17305</v>
      </c>
      <c r="K325" s="1">
        <f t="shared" si="30"/>
        <v>5000</v>
      </c>
      <c r="L325" s="1">
        <f>IF(Table1[[#This Row],[Agi]]&gt;ctc_phase_out_begins,ctc_phase_out_rate*(Table1[[#This Row],[Agi]]-ctc_phase_out_begins),0)</f>
        <v>1700</v>
      </c>
      <c r="M325" s="1">
        <f>MAX(Table1[[#This Row],[Child Tax Credit]]-Table1[[#This Row],[Child Tax Credit Phase Out]],0)</f>
        <v>3300</v>
      </c>
      <c r="N325" s="1">
        <f>MAX(Table1[[#This Row],[Regular Taxes Owed]]-Table1[[#This Row],[Effective Child Tax Credit]],0)</f>
        <v>14005</v>
      </c>
      <c r="O325" s="1">
        <f>MAX(MIN((Table1[[#This Row],[taxable wages]]-3000)*0.15,1000*num_kids_16_younger),0)</f>
        <v>5000</v>
      </c>
      <c r="P325" s="9">
        <f>IF(Table1[[#This Row],[Effective Child Tax Credit]]&gt;Table1[[#This Row],[Regular Taxes Owed]],Table1[[#This Row],[Additional Child Tax Credit ]]-Table1[[#This Row],[Regular Taxes Owed]],0)</f>
        <v>0</v>
      </c>
      <c r="Q3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5" s="1">
        <f>Table1[[#This Row],[Effective Additional Child Tax Credit]]+Table1[[#This Row],[Eitc]]</f>
        <v>0</v>
      </c>
      <c r="S325" s="9">
        <f>Table1[[#This Row],[Regular Taxes Owed - Effective Child Tax Credit]]-Table1[[#This Row],[Total Credits]]</f>
        <v>14005</v>
      </c>
      <c r="T325" s="9">
        <f>Table1[[#This Row],[taxable wages]]+interest+dividends+short_term_capital_gains+long_term_capital_gains-(charitable_donations+mortgage_interest)</f>
        <v>144000</v>
      </c>
      <c r="U325" s="9">
        <f>MAX(amt_exemption-amt_exemption_phase_out_rate*MAX(Table1[[#This Row],[taxable wages]]-amt_phase_out_begins,0),0)</f>
        <v>83800</v>
      </c>
      <c r="V3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15652</v>
      </c>
      <c r="W325" s="1">
        <f>IF(AND(Table1[[#This Row],[AMT Taxes]]&gt;Table1[[#This Row],[Regular Taxes Owed]],Table1[[#This Row],[AMT Taxes]]&gt;0),Table1[[#This Row],[AMT Taxes]]-Table1[[#This Row],[Regular Taxes Owed]],0)</f>
        <v>0</v>
      </c>
      <c r="X325" s="9">
        <f>Table1[[#This Row],[Extra Taxes From Amt]]+Table1[[#This Row],[Federal Taxes Owed (No AMT)]]</f>
        <v>14005</v>
      </c>
      <c r="Y325" s="9">
        <f>IF(Table1[[#This Row],[taxable wages]]&gt;obamacare_surcharge_amount,obamacare_surcharge_percent*(Table1[[#This Row],[taxable wages]]-obamacare_surcharge_amount),0)</f>
        <v>0</v>
      </c>
      <c r="Z325" s="9">
        <f>Table1[[#This Row],[Federal Taxes Owed (Includes AMT)]]+Table1[[#This Row],[Obamacare surcharge premium]]</f>
        <v>14005</v>
      </c>
      <c r="AA325" s="9">
        <f>Table1[[#This Row],[taxable wages]]-Table1[[#This Row],[Federal Taxes Owed2]]</f>
        <v>129995</v>
      </c>
      <c r="AB325" s="51">
        <f t="shared" si="31"/>
        <v>0.3</v>
      </c>
      <c r="AC325" s="41"/>
      <c r="AD325" s="13"/>
      <c r="AE325" s="13"/>
    </row>
    <row r="326" spans="2:31" x14ac:dyDescent="0.3">
      <c r="B326" s="41">
        <f t="shared" si="32"/>
        <v>144500</v>
      </c>
      <c r="C326" s="1">
        <f>Table1[[#This Row],[taxable wages]]</f>
        <v>144500</v>
      </c>
      <c r="D326" s="1">
        <f>Table1[[#This Row],[taxable wages]]+interest+dividends+short_term_capital_gains+long_term_capital_gains</f>
        <v>144500</v>
      </c>
      <c r="E326" s="1">
        <f>MAX(Table1[[#This Row],[earned income for EITC]:[Agi For Eitc Calc]])</f>
        <v>144500</v>
      </c>
      <c r="F326" s="1">
        <f>Table1[[#This Row],[taxable wages]]+interest+dividends+short_term_capital_gains+long_term_capital_gains-(trad_ira_contributions+MIN(student_loan_interest_cap,student_loan_interest))</f>
        <v>144500</v>
      </c>
      <c r="G326" s="1">
        <f t="shared" si="28"/>
        <v>12600</v>
      </c>
      <c r="H326" s="1">
        <f t="shared" si="29"/>
        <v>28350</v>
      </c>
      <c r="I326" s="1">
        <f>MAX(0,Table1[[#This Row],[Agi]]-Table1[[#This Row],[Exemptions]]-Table1[[#This Row],[Effective Deductions]])</f>
        <v>103550</v>
      </c>
      <c r="J3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17430</v>
      </c>
      <c r="K326" s="1">
        <f t="shared" si="30"/>
        <v>5000</v>
      </c>
      <c r="L326" s="1">
        <f>IF(Table1[[#This Row],[Agi]]&gt;ctc_phase_out_begins,ctc_phase_out_rate*(Table1[[#This Row],[Agi]]-ctc_phase_out_begins),0)</f>
        <v>1725</v>
      </c>
      <c r="M326" s="1">
        <f>MAX(Table1[[#This Row],[Child Tax Credit]]-Table1[[#This Row],[Child Tax Credit Phase Out]],0)</f>
        <v>3275</v>
      </c>
      <c r="N326" s="1">
        <f>MAX(Table1[[#This Row],[Regular Taxes Owed]]-Table1[[#This Row],[Effective Child Tax Credit]],0)</f>
        <v>14155</v>
      </c>
      <c r="O326" s="1">
        <f>MAX(MIN((Table1[[#This Row],[taxable wages]]-3000)*0.15,1000*num_kids_16_younger),0)</f>
        <v>5000</v>
      </c>
      <c r="P326" s="9">
        <f>IF(Table1[[#This Row],[Effective Child Tax Credit]]&gt;Table1[[#This Row],[Regular Taxes Owed]],Table1[[#This Row],[Additional Child Tax Credit ]]-Table1[[#This Row],[Regular Taxes Owed]],0)</f>
        <v>0</v>
      </c>
      <c r="Q3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6" s="1">
        <f>Table1[[#This Row],[Effective Additional Child Tax Credit]]+Table1[[#This Row],[Eitc]]</f>
        <v>0</v>
      </c>
      <c r="S326" s="9">
        <f>Table1[[#This Row],[Regular Taxes Owed - Effective Child Tax Credit]]-Table1[[#This Row],[Total Credits]]</f>
        <v>14155</v>
      </c>
      <c r="T326" s="9">
        <f>Table1[[#This Row],[taxable wages]]+interest+dividends+short_term_capital_gains+long_term_capital_gains-(charitable_donations+mortgage_interest)</f>
        <v>144500</v>
      </c>
      <c r="U326" s="9">
        <f>MAX(amt_exemption-amt_exemption_phase_out_rate*MAX(Table1[[#This Row],[taxable wages]]-amt_phase_out_begins,0),0)</f>
        <v>83800</v>
      </c>
      <c r="V3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15782</v>
      </c>
      <c r="W326" s="1">
        <f>IF(AND(Table1[[#This Row],[AMT Taxes]]&gt;Table1[[#This Row],[Regular Taxes Owed]],Table1[[#This Row],[AMT Taxes]]&gt;0),Table1[[#This Row],[AMT Taxes]]-Table1[[#This Row],[Regular Taxes Owed]],0)</f>
        <v>0</v>
      </c>
      <c r="X326" s="9">
        <f>Table1[[#This Row],[Extra Taxes From Amt]]+Table1[[#This Row],[Federal Taxes Owed (No AMT)]]</f>
        <v>14155</v>
      </c>
      <c r="Y326" s="9">
        <f>IF(Table1[[#This Row],[taxable wages]]&gt;obamacare_surcharge_amount,obamacare_surcharge_percent*(Table1[[#This Row],[taxable wages]]-obamacare_surcharge_amount),0)</f>
        <v>0</v>
      </c>
      <c r="Z326" s="9">
        <f>Table1[[#This Row],[Federal Taxes Owed (Includes AMT)]]+Table1[[#This Row],[Obamacare surcharge premium]]</f>
        <v>14155</v>
      </c>
      <c r="AA326" s="9">
        <f>Table1[[#This Row],[taxable wages]]-Table1[[#This Row],[Federal Taxes Owed2]]</f>
        <v>130345</v>
      </c>
      <c r="AB326" s="51">
        <f t="shared" si="31"/>
        <v>0.3</v>
      </c>
      <c r="AC326" s="41"/>
      <c r="AD326" s="13"/>
      <c r="AE326" s="13"/>
    </row>
    <row r="327" spans="2:31" x14ac:dyDescent="0.3">
      <c r="B327" s="41">
        <f t="shared" si="32"/>
        <v>145000</v>
      </c>
      <c r="C327" s="1">
        <f>Table1[[#This Row],[taxable wages]]</f>
        <v>145000</v>
      </c>
      <c r="D327" s="1">
        <f>Table1[[#This Row],[taxable wages]]+interest+dividends+short_term_capital_gains+long_term_capital_gains</f>
        <v>145000</v>
      </c>
      <c r="E327" s="1">
        <f>MAX(Table1[[#This Row],[earned income for EITC]:[Agi For Eitc Calc]])</f>
        <v>145000</v>
      </c>
      <c r="F327" s="1">
        <f>Table1[[#This Row],[taxable wages]]+interest+dividends+short_term_capital_gains+long_term_capital_gains-(trad_ira_contributions+MIN(student_loan_interest_cap,student_loan_interest))</f>
        <v>145000</v>
      </c>
      <c r="G327" s="1">
        <f t="shared" si="28"/>
        <v>12600</v>
      </c>
      <c r="H327" s="1">
        <f t="shared" si="29"/>
        <v>28350</v>
      </c>
      <c r="I327" s="1">
        <f>MAX(0,Table1[[#This Row],[Agi]]-Table1[[#This Row],[Exemptions]]-Table1[[#This Row],[Effective Deductions]])</f>
        <v>104050</v>
      </c>
      <c r="J3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17555</v>
      </c>
      <c r="K327" s="1">
        <f t="shared" si="30"/>
        <v>5000</v>
      </c>
      <c r="L327" s="1">
        <f>IF(Table1[[#This Row],[Agi]]&gt;ctc_phase_out_begins,ctc_phase_out_rate*(Table1[[#This Row],[Agi]]-ctc_phase_out_begins),0)</f>
        <v>1750</v>
      </c>
      <c r="M327" s="1">
        <f>MAX(Table1[[#This Row],[Child Tax Credit]]-Table1[[#This Row],[Child Tax Credit Phase Out]],0)</f>
        <v>3250</v>
      </c>
      <c r="N327" s="1">
        <f>MAX(Table1[[#This Row],[Regular Taxes Owed]]-Table1[[#This Row],[Effective Child Tax Credit]],0)</f>
        <v>14305</v>
      </c>
      <c r="O327" s="1">
        <f>MAX(MIN((Table1[[#This Row],[taxable wages]]-3000)*0.15,1000*num_kids_16_younger),0)</f>
        <v>5000</v>
      </c>
      <c r="P327" s="9">
        <f>IF(Table1[[#This Row],[Effective Child Tax Credit]]&gt;Table1[[#This Row],[Regular Taxes Owed]],Table1[[#This Row],[Additional Child Tax Credit ]]-Table1[[#This Row],[Regular Taxes Owed]],0)</f>
        <v>0</v>
      </c>
      <c r="Q3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7" s="1">
        <f>Table1[[#This Row],[Effective Additional Child Tax Credit]]+Table1[[#This Row],[Eitc]]</f>
        <v>0</v>
      </c>
      <c r="S327" s="9">
        <f>Table1[[#This Row],[Regular Taxes Owed - Effective Child Tax Credit]]-Table1[[#This Row],[Total Credits]]</f>
        <v>14305</v>
      </c>
      <c r="T327" s="9">
        <f>Table1[[#This Row],[taxable wages]]+interest+dividends+short_term_capital_gains+long_term_capital_gains-(charitable_donations+mortgage_interest)</f>
        <v>145000</v>
      </c>
      <c r="U327" s="9">
        <f>MAX(amt_exemption-amt_exemption_phase_out_rate*MAX(Table1[[#This Row],[taxable wages]]-amt_phase_out_begins,0),0)</f>
        <v>83800</v>
      </c>
      <c r="V3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15912</v>
      </c>
      <c r="W327" s="1">
        <f>IF(AND(Table1[[#This Row],[AMT Taxes]]&gt;Table1[[#This Row],[Regular Taxes Owed]],Table1[[#This Row],[AMT Taxes]]&gt;0),Table1[[#This Row],[AMT Taxes]]-Table1[[#This Row],[Regular Taxes Owed]],0)</f>
        <v>0</v>
      </c>
      <c r="X327" s="9">
        <f>Table1[[#This Row],[Extra Taxes From Amt]]+Table1[[#This Row],[Federal Taxes Owed (No AMT)]]</f>
        <v>14305</v>
      </c>
      <c r="Y327" s="9">
        <f>IF(Table1[[#This Row],[taxable wages]]&gt;obamacare_surcharge_amount,obamacare_surcharge_percent*(Table1[[#This Row],[taxable wages]]-obamacare_surcharge_amount),0)</f>
        <v>0</v>
      </c>
      <c r="Z327" s="9">
        <f>Table1[[#This Row],[Federal Taxes Owed (Includes AMT)]]+Table1[[#This Row],[Obamacare surcharge premium]]</f>
        <v>14305</v>
      </c>
      <c r="AA327" s="9">
        <f>Table1[[#This Row],[taxable wages]]-Table1[[#This Row],[Federal Taxes Owed2]]</f>
        <v>130695</v>
      </c>
      <c r="AB327" s="51">
        <f t="shared" si="31"/>
        <v>0.3</v>
      </c>
      <c r="AC327" s="41"/>
      <c r="AD327" s="13"/>
      <c r="AE327" s="13"/>
    </row>
    <row r="328" spans="2:31" x14ac:dyDescent="0.3">
      <c r="B328" s="41">
        <f t="shared" si="32"/>
        <v>145500</v>
      </c>
      <c r="C328" s="1">
        <f>Table1[[#This Row],[taxable wages]]</f>
        <v>145500</v>
      </c>
      <c r="D328" s="1">
        <f>Table1[[#This Row],[taxable wages]]+interest+dividends+short_term_capital_gains+long_term_capital_gains</f>
        <v>145500</v>
      </c>
      <c r="E328" s="1">
        <f>MAX(Table1[[#This Row],[earned income for EITC]:[Agi For Eitc Calc]])</f>
        <v>145500</v>
      </c>
      <c r="F328" s="1">
        <f>Table1[[#This Row],[taxable wages]]+interest+dividends+short_term_capital_gains+long_term_capital_gains-(trad_ira_contributions+MIN(student_loan_interest_cap,student_loan_interest))</f>
        <v>145500</v>
      </c>
      <c r="G328" s="1">
        <f t="shared" si="28"/>
        <v>12600</v>
      </c>
      <c r="H328" s="1">
        <f t="shared" si="29"/>
        <v>28350</v>
      </c>
      <c r="I328" s="1">
        <f>MAX(0,Table1[[#This Row],[Agi]]-Table1[[#This Row],[Exemptions]]-Table1[[#This Row],[Effective Deductions]])</f>
        <v>104550</v>
      </c>
      <c r="J3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17680</v>
      </c>
      <c r="K328" s="1">
        <f t="shared" si="30"/>
        <v>5000</v>
      </c>
      <c r="L328" s="1">
        <f>IF(Table1[[#This Row],[Agi]]&gt;ctc_phase_out_begins,ctc_phase_out_rate*(Table1[[#This Row],[Agi]]-ctc_phase_out_begins),0)</f>
        <v>1775</v>
      </c>
      <c r="M328" s="1">
        <f>MAX(Table1[[#This Row],[Child Tax Credit]]-Table1[[#This Row],[Child Tax Credit Phase Out]],0)</f>
        <v>3225</v>
      </c>
      <c r="N328" s="1">
        <f>MAX(Table1[[#This Row],[Regular Taxes Owed]]-Table1[[#This Row],[Effective Child Tax Credit]],0)</f>
        <v>14455</v>
      </c>
      <c r="O328" s="1">
        <f>MAX(MIN((Table1[[#This Row],[taxable wages]]-3000)*0.15,1000*num_kids_16_younger),0)</f>
        <v>5000</v>
      </c>
      <c r="P328" s="9">
        <f>IF(Table1[[#This Row],[Effective Child Tax Credit]]&gt;Table1[[#This Row],[Regular Taxes Owed]],Table1[[#This Row],[Additional Child Tax Credit ]]-Table1[[#This Row],[Regular Taxes Owed]],0)</f>
        <v>0</v>
      </c>
      <c r="Q3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8" s="1">
        <f>Table1[[#This Row],[Effective Additional Child Tax Credit]]+Table1[[#This Row],[Eitc]]</f>
        <v>0</v>
      </c>
      <c r="S328" s="9">
        <f>Table1[[#This Row],[Regular Taxes Owed - Effective Child Tax Credit]]-Table1[[#This Row],[Total Credits]]</f>
        <v>14455</v>
      </c>
      <c r="T328" s="9">
        <f>Table1[[#This Row],[taxable wages]]+interest+dividends+short_term_capital_gains+long_term_capital_gains-(charitable_donations+mortgage_interest)</f>
        <v>145500</v>
      </c>
      <c r="U328" s="9">
        <f>MAX(amt_exemption-amt_exemption_phase_out_rate*MAX(Table1[[#This Row],[taxable wages]]-amt_phase_out_begins,0),0)</f>
        <v>83800</v>
      </c>
      <c r="V3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16042</v>
      </c>
      <c r="W328" s="1">
        <f>IF(AND(Table1[[#This Row],[AMT Taxes]]&gt;Table1[[#This Row],[Regular Taxes Owed]],Table1[[#This Row],[AMT Taxes]]&gt;0),Table1[[#This Row],[AMT Taxes]]-Table1[[#This Row],[Regular Taxes Owed]],0)</f>
        <v>0</v>
      </c>
      <c r="X328" s="9">
        <f>Table1[[#This Row],[Extra Taxes From Amt]]+Table1[[#This Row],[Federal Taxes Owed (No AMT)]]</f>
        <v>14455</v>
      </c>
      <c r="Y328" s="9">
        <f>IF(Table1[[#This Row],[taxable wages]]&gt;obamacare_surcharge_amount,obamacare_surcharge_percent*(Table1[[#This Row],[taxable wages]]-obamacare_surcharge_amount),0)</f>
        <v>0</v>
      </c>
      <c r="Z328" s="9">
        <f>Table1[[#This Row],[Federal Taxes Owed (Includes AMT)]]+Table1[[#This Row],[Obamacare surcharge premium]]</f>
        <v>14455</v>
      </c>
      <c r="AA328" s="9">
        <f>Table1[[#This Row],[taxable wages]]-Table1[[#This Row],[Federal Taxes Owed2]]</f>
        <v>131045</v>
      </c>
      <c r="AB328" s="51">
        <f t="shared" si="31"/>
        <v>0.3</v>
      </c>
      <c r="AC328" s="41"/>
      <c r="AD328" s="13"/>
      <c r="AE328" s="13"/>
    </row>
    <row r="329" spans="2:31" x14ac:dyDescent="0.3">
      <c r="B329" s="41">
        <f t="shared" si="32"/>
        <v>146000</v>
      </c>
      <c r="C329" s="1">
        <f>Table1[[#This Row],[taxable wages]]</f>
        <v>146000</v>
      </c>
      <c r="D329" s="1">
        <f>Table1[[#This Row],[taxable wages]]+interest+dividends+short_term_capital_gains+long_term_capital_gains</f>
        <v>146000</v>
      </c>
      <c r="E329" s="1">
        <f>MAX(Table1[[#This Row],[earned income for EITC]:[Agi For Eitc Calc]])</f>
        <v>146000</v>
      </c>
      <c r="F329" s="1">
        <f>Table1[[#This Row],[taxable wages]]+interest+dividends+short_term_capital_gains+long_term_capital_gains-(trad_ira_contributions+MIN(student_loan_interest_cap,student_loan_interest))</f>
        <v>146000</v>
      </c>
      <c r="G329" s="1">
        <f t="shared" si="28"/>
        <v>12600</v>
      </c>
      <c r="H329" s="1">
        <f t="shared" si="29"/>
        <v>28350</v>
      </c>
      <c r="I329" s="1">
        <f>MAX(0,Table1[[#This Row],[Agi]]-Table1[[#This Row],[Exemptions]]-Table1[[#This Row],[Effective Deductions]])</f>
        <v>105050</v>
      </c>
      <c r="J3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17805</v>
      </c>
      <c r="K329" s="1">
        <f t="shared" si="30"/>
        <v>5000</v>
      </c>
      <c r="L329" s="1">
        <f>IF(Table1[[#This Row],[Agi]]&gt;ctc_phase_out_begins,ctc_phase_out_rate*(Table1[[#This Row],[Agi]]-ctc_phase_out_begins),0)</f>
        <v>1800</v>
      </c>
      <c r="M329" s="1">
        <f>MAX(Table1[[#This Row],[Child Tax Credit]]-Table1[[#This Row],[Child Tax Credit Phase Out]],0)</f>
        <v>3200</v>
      </c>
      <c r="N329" s="1">
        <f>MAX(Table1[[#This Row],[Regular Taxes Owed]]-Table1[[#This Row],[Effective Child Tax Credit]],0)</f>
        <v>14605</v>
      </c>
      <c r="O329" s="1">
        <f>MAX(MIN((Table1[[#This Row],[taxable wages]]-3000)*0.15,1000*num_kids_16_younger),0)</f>
        <v>5000</v>
      </c>
      <c r="P329" s="9">
        <f>IF(Table1[[#This Row],[Effective Child Tax Credit]]&gt;Table1[[#This Row],[Regular Taxes Owed]],Table1[[#This Row],[Additional Child Tax Credit ]]-Table1[[#This Row],[Regular Taxes Owed]],0)</f>
        <v>0</v>
      </c>
      <c r="Q3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29" s="1">
        <f>Table1[[#This Row],[Effective Additional Child Tax Credit]]+Table1[[#This Row],[Eitc]]</f>
        <v>0</v>
      </c>
      <c r="S329" s="9">
        <f>Table1[[#This Row],[Regular Taxes Owed - Effective Child Tax Credit]]-Table1[[#This Row],[Total Credits]]</f>
        <v>14605</v>
      </c>
      <c r="T329" s="9">
        <f>Table1[[#This Row],[taxable wages]]+interest+dividends+short_term_capital_gains+long_term_capital_gains-(charitable_donations+mortgage_interest)</f>
        <v>146000</v>
      </c>
      <c r="U329" s="9">
        <f>MAX(amt_exemption-amt_exemption_phase_out_rate*MAX(Table1[[#This Row],[taxable wages]]-amt_phase_out_begins,0),0)</f>
        <v>83800</v>
      </c>
      <c r="V3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16172</v>
      </c>
      <c r="W329" s="1">
        <f>IF(AND(Table1[[#This Row],[AMT Taxes]]&gt;Table1[[#This Row],[Regular Taxes Owed]],Table1[[#This Row],[AMT Taxes]]&gt;0),Table1[[#This Row],[AMT Taxes]]-Table1[[#This Row],[Regular Taxes Owed]],0)</f>
        <v>0</v>
      </c>
      <c r="X329" s="9">
        <f>Table1[[#This Row],[Extra Taxes From Amt]]+Table1[[#This Row],[Federal Taxes Owed (No AMT)]]</f>
        <v>14605</v>
      </c>
      <c r="Y329" s="9">
        <f>IF(Table1[[#This Row],[taxable wages]]&gt;obamacare_surcharge_amount,obamacare_surcharge_percent*(Table1[[#This Row],[taxable wages]]-obamacare_surcharge_amount),0)</f>
        <v>0</v>
      </c>
      <c r="Z329" s="9">
        <f>Table1[[#This Row],[Federal Taxes Owed (Includes AMT)]]+Table1[[#This Row],[Obamacare surcharge premium]]</f>
        <v>14605</v>
      </c>
      <c r="AA329" s="9">
        <f>Table1[[#This Row],[taxable wages]]-Table1[[#This Row],[Federal Taxes Owed2]]</f>
        <v>131395</v>
      </c>
      <c r="AB329" s="51">
        <f t="shared" si="31"/>
        <v>0.3</v>
      </c>
      <c r="AC329" s="41"/>
      <c r="AD329" s="13"/>
      <c r="AE329" s="13"/>
    </row>
    <row r="330" spans="2:31" x14ac:dyDescent="0.3">
      <c r="B330" s="41">
        <f t="shared" si="32"/>
        <v>146500</v>
      </c>
      <c r="C330" s="1">
        <f>Table1[[#This Row],[taxable wages]]</f>
        <v>146500</v>
      </c>
      <c r="D330" s="1">
        <f>Table1[[#This Row],[taxable wages]]+interest+dividends+short_term_capital_gains+long_term_capital_gains</f>
        <v>146500</v>
      </c>
      <c r="E330" s="1">
        <f>MAX(Table1[[#This Row],[earned income for EITC]:[Agi For Eitc Calc]])</f>
        <v>146500</v>
      </c>
      <c r="F330" s="1">
        <f>Table1[[#This Row],[taxable wages]]+interest+dividends+short_term_capital_gains+long_term_capital_gains-(trad_ira_contributions+MIN(student_loan_interest_cap,student_loan_interest))</f>
        <v>146500</v>
      </c>
      <c r="G330" s="1">
        <f t="shared" si="28"/>
        <v>12600</v>
      </c>
      <c r="H330" s="1">
        <f t="shared" si="29"/>
        <v>28350</v>
      </c>
      <c r="I330" s="1">
        <f>MAX(0,Table1[[#This Row],[Agi]]-Table1[[#This Row],[Exemptions]]-Table1[[#This Row],[Effective Deductions]])</f>
        <v>105550</v>
      </c>
      <c r="J3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17930</v>
      </c>
      <c r="K330" s="1">
        <f t="shared" si="30"/>
        <v>5000</v>
      </c>
      <c r="L330" s="1">
        <f>IF(Table1[[#This Row],[Agi]]&gt;ctc_phase_out_begins,ctc_phase_out_rate*(Table1[[#This Row],[Agi]]-ctc_phase_out_begins),0)</f>
        <v>1825</v>
      </c>
      <c r="M330" s="1">
        <f>MAX(Table1[[#This Row],[Child Tax Credit]]-Table1[[#This Row],[Child Tax Credit Phase Out]],0)</f>
        <v>3175</v>
      </c>
      <c r="N330" s="1">
        <f>MAX(Table1[[#This Row],[Regular Taxes Owed]]-Table1[[#This Row],[Effective Child Tax Credit]],0)</f>
        <v>14755</v>
      </c>
      <c r="O330" s="1">
        <f>MAX(MIN((Table1[[#This Row],[taxable wages]]-3000)*0.15,1000*num_kids_16_younger),0)</f>
        <v>5000</v>
      </c>
      <c r="P330" s="9">
        <f>IF(Table1[[#This Row],[Effective Child Tax Credit]]&gt;Table1[[#This Row],[Regular Taxes Owed]],Table1[[#This Row],[Additional Child Tax Credit ]]-Table1[[#This Row],[Regular Taxes Owed]],0)</f>
        <v>0</v>
      </c>
      <c r="Q3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0" s="1">
        <f>Table1[[#This Row],[Effective Additional Child Tax Credit]]+Table1[[#This Row],[Eitc]]</f>
        <v>0</v>
      </c>
      <c r="S330" s="9">
        <f>Table1[[#This Row],[Regular Taxes Owed - Effective Child Tax Credit]]-Table1[[#This Row],[Total Credits]]</f>
        <v>14755</v>
      </c>
      <c r="T330" s="9">
        <f>Table1[[#This Row],[taxable wages]]+interest+dividends+short_term_capital_gains+long_term_capital_gains-(charitable_donations+mortgage_interest)</f>
        <v>146500</v>
      </c>
      <c r="U330" s="9">
        <f>MAX(amt_exemption-amt_exemption_phase_out_rate*MAX(Table1[[#This Row],[taxable wages]]-amt_phase_out_begins,0),0)</f>
        <v>83800</v>
      </c>
      <c r="V3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16302</v>
      </c>
      <c r="W330" s="1">
        <f>IF(AND(Table1[[#This Row],[AMT Taxes]]&gt;Table1[[#This Row],[Regular Taxes Owed]],Table1[[#This Row],[AMT Taxes]]&gt;0),Table1[[#This Row],[AMT Taxes]]-Table1[[#This Row],[Regular Taxes Owed]],0)</f>
        <v>0</v>
      </c>
      <c r="X330" s="9">
        <f>Table1[[#This Row],[Extra Taxes From Amt]]+Table1[[#This Row],[Federal Taxes Owed (No AMT)]]</f>
        <v>14755</v>
      </c>
      <c r="Y330" s="9">
        <f>IF(Table1[[#This Row],[taxable wages]]&gt;obamacare_surcharge_amount,obamacare_surcharge_percent*(Table1[[#This Row],[taxable wages]]-obamacare_surcharge_amount),0)</f>
        <v>0</v>
      </c>
      <c r="Z330" s="9">
        <f>Table1[[#This Row],[Federal Taxes Owed (Includes AMT)]]+Table1[[#This Row],[Obamacare surcharge premium]]</f>
        <v>14755</v>
      </c>
      <c r="AA330" s="9">
        <f>Table1[[#This Row],[taxable wages]]-Table1[[#This Row],[Federal Taxes Owed2]]</f>
        <v>131745</v>
      </c>
      <c r="AB330" s="51">
        <f t="shared" si="31"/>
        <v>0.3</v>
      </c>
      <c r="AC330" s="41"/>
      <c r="AD330" s="13"/>
      <c r="AE330" s="13"/>
    </row>
    <row r="331" spans="2:31" x14ac:dyDescent="0.3">
      <c r="B331" s="41">
        <f t="shared" si="32"/>
        <v>147000</v>
      </c>
      <c r="C331" s="1">
        <f>Table1[[#This Row],[taxable wages]]</f>
        <v>147000</v>
      </c>
      <c r="D331" s="1">
        <f>Table1[[#This Row],[taxable wages]]+interest+dividends+short_term_capital_gains+long_term_capital_gains</f>
        <v>147000</v>
      </c>
      <c r="E331" s="1">
        <f>MAX(Table1[[#This Row],[earned income for EITC]:[Agi For Eitc Calc]])</f>
        <v>147000</v>
      </c>
      <c r="F331" s="1">
        <f>Table1[[#This Row],[taxable wages]]+interest+dividends+short_term_capital_gains+long_term_capital_gains-(trad_ira_contributions+MIN(student_loan_interest_cap,student_loan_interest))</f>
        <v>147000</v>
      </c>
      <c r="G331" s="1">
        <f t="shared" si="28"/>
        <v>12600</v>
      </c>
      <c r="H331" s="1">
        <f t="shared" si="29"/>
        <v>28350</v>
      </c>
      <c r="I331" s="1">
        <f>MAX(0,Table1[[#This Row],[Agi]]-Table1[[#This Row],[Exemptions]]-Table1[[#This Row],[Effective Deductions]])</f>
        <v>106050</v>
      </c>
      <c r="J3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18055</v>
      </c>
      <c r="K331" s="1">
        <f t="shared" si="30"/>
        <v>5000</v>
      </c>
      <c r="L331" s="1">
        <f>IF(Table1[[#This Row],[Agi]]&gt;ctc_phase_out_begins,ctc_phase_out_rate*(Table1[[#This Row],[Agi]]-ctc_phase_out_begins),0)</f>
        <v>1850</v>
      </c>
      <c r="M331" s="1">
        <f>MAX(Table1[[#This Row],[Child Tax Credit]]-Table1[[#This Row],[Child Tax Credit Phase Out]],0)</f>
        <v>3150</v>
      </c>
      <c r="N331" s="1">
        <f>MAX(Table1[[#This Row],[Regular Taxes Owed]]-Table1[[#This Row],[Effective Child Tax Credit]],0)</f>
        <v>14905</v>
      </c>
      <c r="O331" s="1">
        <f>MAX(MIN((Table1[[#This Row],[taxable wages]]-3000)*0.15,1000*num_kids_16_younger),0)</f>
        <v>5000</v>
      </c>
      <c r="P331" s="9">
        <f>IF(Table1[[#This Row],[Effective Child Tax Credit]]&gt;Table1[[#This Row],[Regular Taxes Owed]],Table1[[#This Row],[Additional Child Tax Credit ]]-Table1[[#This Row],[Regular Taxes Owed]],0)</f>
        <v>0</v>
      </c>
      <c r="Q3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1" s="1">
        <f>Table1[[#This Row],[Effective Additional Child Tax Credit]]+Table1[[#This Row],[Eitc]]</f>
        <v>0</v>
      </c>
      <c r="S331" s="9">
        <f>Table1[[#This Row],[Regular Taxes Owed - Effective Child Tax Credit]]-Table1[[#This Row],[Total Credits]]</f>
        <v>14905</v>
      </c>
      <c r="T331" s="9">
        <f>Table1[[#This Row],[taxable wages]]+interest+dividends+short_term_capital_gains+long_term_capital_gains-(charitable_donations+mortgage_interest)</f>
        <v>147000</v>
      </c>
      <c r="U331" s="9">
        <f>MAX(amt_exemption-amt_exemption_phase_out_rate*MAX(Table1[[#This Row],[taxable wages]]-amt_phase_out_begins,0),0)</f>
        <v>83800</v>
      </c>
      <c r="V3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16432</v>
      </c>
      <c r="W331" s="1">
        <f>IF(AND(Table1[[#This Row],[AMT Taxes]]&gt;Table1[[#This Row],[Regular Taxes Owed]],Table1[[#This Row],[AMT Taxes]]&gt;0),Table1[[#This Row],[AMT Taxes]]-Table1[[#This Row],[Regular Taxes Owed]],0)</f>
        <v>0</v>
      </c>
      <c r="X331" s="9">
        <f>Table1[[#This Row],[Extra Taxes From Amt]]+Table1[[#This Row],[Federal Taxes Owed (No AMT)]]</f>
        <v>14905</v>
      </c>
      <c r="Y331" s="9">
        <f>IF(Table1[[#This Row],[taxable wages]]&gt;obamacare_surcharge_amount,obamacare_surcharge_percent*(Table1[[#This Row],[taxable wages]]-obamacare_surcharge_amount),0)</f>
        <v>0</v>
      </c>
      <c r="Z331" s="9">
        <f>Table1[[#This Row],[Federal Taxes Owed (Includes AMT)]]+Table1[[#This Row],[Obamacare surcharge premium]]</f>
        <v>14905</v>
      </c>
      <c r="AA331" s="9">
        <f>Table1[[#This Row],[taxable wages]]-Table1[[#This Row],[Federal Taxes Owed2]]</f>
        <v>132095</v>
      </c>
      <c r="AB331" s="51">
        <f t="shared" si="31"/>
        <v>0.3</v>
      </c>
      <c r="AC331" s="41"/>
      <c r="AD331" s="13"/>
      <c r="AE331" s="13"/>
    </row>
    <row r="332" spans="2:31" x14ac:dyDescent="0.3">
      <c r="B332" s="41">
        <f t="shared" si="32"/>
        <v>147500</v>
      </c>
      <c r="C332" s="1">
        <f>Table1[[#This Row],[taxable wages]]</f>
        <v>147500</v>
      </c>
      <c r="D332" s="1">
        <f>Table1[[#This Row],[taxable wages]]+interest+dividends+short_term_capital_gains+long_term_capital_gains</f>
        <v>147500</v>
      </c>
      <c r="E332" s="1">
        <f>MAX(Table1[[#This Row],[earned income for EITC]:[Agi For Eitc Calc]])</f>
        <v>147500</v>
      </c>
      <c r="F332" s="1">
        <f>Table1[[#This Row],[taxable wages]]+interest+dividends+short_term_capital_gains+long_term_capital_gains-(trad_ira_contributions+MIN(student_loan_interest_cap,student_loan_interest))</f>
        <v>147500</v>
      </c>
      <c r="G332" s="1">
        <f t="shared" si="28"/>
        <v>12600</v>
      </c>
      <c r="H332" s="1">
        <f t="shared" si="29"/>
        <v>28350</v>
      </c>
      <c r="I332" s="1">
        <f>MAX(0,Table1[[#This Row],[Agi]]-Table1[[#This Row],[Exemptions]]-Table1[[#This Row],[Effective Deductions]])</f>
        <v>106550</v>
      </c>
      <c r="J3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18180</v>
      </c>
      <c r="K332" s="1">
        <f t="shared" si="30"/>
        <v>5000</v>
      </c>
      <c r="L332" s="1">
        <f>IF(Table1[[#This Row],[Agi]]&gt;ctc_phase_out_begins,ctc_phase_out_rate*(Table1[[#This Row],[Agi]]-ctc_phase_out_begins),0)</f>
        <v>1875</v>
      </c>
      <c r="M332" s="1">
        <f>MAX(Table1[[#This Row],[Child Tax Credit]]-Table1[[#This Row],[Child Tax Credit Phase Out]],0)</f>
        <v>3125</v>
      </c>
      <c r="N332" s="1">
        <f>MAX(Table1[[#This Row],[Regular Taxes Owed]]-Table1[[#This Row],[Effective Child Tax Credit]],0)</f>
        <v>15055</v>
      </c>
      <c r="O332" s="1">
        <f>MAX(MIN((Table1[[#This Row],[taxable wages]]-3000)*0.15,1000*num_kids_16_younger),0)</f>
        <v>5000</v>
      </c>
      <c r="P332" s="9">
        <f>IF(Table1[[#This Row],[Effective Child Tax Credit]]&gt;Table1[[#This Row],[Regular Taxes Owed]],Table1[[#This Row],[Additional Child Tax Credit ]]-Table1[[#This Row],[Regular Taxes Owed]],0)</f>
        <v>0</v>
      </c>
      <c r="Q3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2" s="1">
        <f>Table1[[#This Row],[Effective Additional Child Tax Credit]]+Table1[[#This Row],[Eitc]]</f>
        <v>0</v>
      </c>
      <c r="S332" s="9">
        <f>Table1[[#This Row],[Regular Taxes Owed - Effective Child Tax Credit]]-Table1[[#This Row],[Total Credits]]</f>
        <v>15055</v>
      </c>
      <c r="T332" s="9">
        <f>Table1[[#This Row],[taxable wages]]+interest+dividends+short_term_capital_gains+long_term_capital_gains-(charitable_donations+mortgage_interest)</f>
        <v>147500</v>
      </c>
      <c r="U332" s="9">
        <f>MAX(amt_exemption-amt_exemption_phase_out_rate*MAX(Table1[[#This Row],[taxable wages]]-amt_phase_out_begins,0),0)</f>
        <v>83800</v>
      </c>
      <c r="V3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16562</v>
      </c>
      <c r="W332" s="1">
        <f>IF(AND(Table1[[#This Row],[AMT Taxes]]&gt;Table1[[#This Row],[Regular Taxes Owed]],Table1[[#This Row],[AMT Taxes]]&gt;0),Table1[[#This Row],[AMT Taxes]]-Table1[[#This Row],[Regular Taxes Owed]],0)</f>
        <v>0</v>
      </c>
      <c r="X332" s="9">
        <f>Table1[[#This Row],[Extra Taxes From Amt]]+Table1[[#This Row],[Federal Taxes Owed (No AMT)]]</f>
        <v>15055</v>
      </c>
      <c r="Y332" s="9">
        <f>IF(Table1[[#This Row],[taxable wages]]&gt;obamacare_surcharge_amount,obamacare_surcharge_percent*(Table1[[#This Row],[taxable wages]]-obamacare_surcharge_amount),0)</f>
        <v>0</v>
      </c>
      <c r="Z332" s="9">
        <f>Table1[[#This Row],[Federal Taxes Owed (Includes AMT)]]+Table1[[#This Row],[Obamacare surcharge premium]]</f>
        <v>15055</v>
      </c>
      <c r="AA332" s="9">
        <f>Table1[[#This Row],[taxable wages]]-Table1[[#This Row],[Federal Taxes Owed2]]</f>
        <v>132445</v>
      </c>
      <c r="AB332" s="51">
        <f t="shared" si="31"/>
        <v>0.3</v>
      </c>
      <c r="AC332" s="41"/>
      <c r="AD332" s="13"/>
      <c r="AE332" s="13"/>
    </row>
    <row r="333" spans="2:31" x14ac:dyDescent="0.3">
      <c r="B333" s="41">
        <f t="shared" si="32"/>
        <v>148000</v>
      </c>
      <c r="C333" s="1">
        <f>Table1[[#This Row],[taxable wages]]</f>
        <v>148000</v>
      </c>
      <c r="D333" s="1">
        <f>Table1[[#This Row],[taxable wages]]+interest+dividends+short_term_capital_gains+long_term_capital_gains</f>
        <v>148000</v>
      </c>
      <c r="E333" s="1">
        <f>MAX(Table1[[#This Row],[earned income for EITC]:[Agi For Eitc Calc]])</f>
        <v>148000</v>
      </c>
      <c r="F333" s="1">
        <f>Table1[[#This Row],[taxable wages]]+interest+dividends+short_term_capital_gains+long_term_capital_gains-(trad_ira_contributions+MIN(student_loan_interest_cap,student_loan_interest))</f>
        <v>148000</v>
      </c>
      <c r="G333" s="1">
        <f t="shared" si="28"/>
        <v>12600</v>
      </c>
      <c r="H333" s="1">
        <f t="shared" si="29"/>
        <v>28350</v>
      </c>
      <c r="I333" s="1">
        <f>MAX(0,Table1[[#This Row],[Agi]]-Table1[[#This Row],[Exemptions]]-Table1[[#This Row],[Effective Deductions]])</f>
        <v>107050</v>
      </c>
      <c r="J3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18305</v>
      </c>
      <c r="K333" s="1">
        <f t="shared" si="30"/>
        <v>5000</v>
      </c>
      <c r="L333" s="1">
        <f>IF(Table1[[#This Row],[Agi]]&gt;ctc_phase_out_begins,ctc_phase_out_rate*(Table1[[#This Row],[Agi]]-ctc_phase_out_begins),0)</f>
        <v>1900</v>
      </c>
      <c r="M333" s="1">
        <f>MAX(Table1[[#This Row],[Child Tax Credit]]-Table1[[#This Row],[Child Tax Credit Phase Out]],0)</f>
        <v>3100</v>
      </c>
      <c r="N333" s="1">
        <f>MAX(Table1[[#This Row],[Regular Taxes Owed]]-Table1[[#This Row],[Effective Child Tax Credit]],0)</f>
        <v>15205</v>
      </c>
      <c r="O333" s="1">
        <f>MAX(MIN((Table1[[#This Row],[taxable wages]]-3000)*0.15,1000*num_kids_16_younger),0)</f>
        <v>5000</v>
      </c>
      <c r="P333" s="9">
        <f>IF(Table1[[#This Row],[Effective Child Tax Credit]]&gt;Table1[[#This Row],[Regular Taxes Owed]],Table1[[#This Row],[Additional Child Tax Credit ]]-Table1[[#This Row],[Regular Taxes Owed]],0)</f>
        <v>0</v>
      </c>
      <c r="Q3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3" s="1">
        <f>Table1[[#This Row],[Effective Additional Child Tax Credit]]+Table1[[#This Row],[Eitc]]</f>
        <v>0</v>
      </c>
      <c r="S333" s="9">
        <f>Table1[[#This Row],[Regular Taxes Owed - Effective Child Tax Credit]]-Table1[[#This Row],[Total Credits]]</f>
        <v>15205</v>
      </c>
      <c r="T333" s="9">
        <f>Table1[[#This Row],[taxable wages]]+interest+dividends+short_term_capital_gains+long_term_capital_gains-(charitable_donations+mortgage_interest)</f>
        <v>148000</v>
      </c>
      <c r="U333" s="9">
        <f>MAX(amt_exemption-amt_exemption_phase_out_rate*MAX(Table1[[#This Row],[taxable wages]]-amt_phase_out_begins,0),0)</f>
        <v>83800</v>
      </c>
      <c r="V3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16692</v>
      </c>
      <c r="W333" s="1">
        <f>IF(AND(Table1[[#This Row],[AMT Taxes]]&gt;Table1[[#This Row],[Regular Taxes Owed]],Table1[[#This Row],[AMT Taxes]]&gt;0),Table1[[#This Row],[AMT Taxes]]-Table1[[#This Row],[Regular Taxes Owed]],0)</f>
        <v>0</v>
      </c>
      <c r="X333" s="9">
        <f>Table1[[#This Row],[Extra Taxes From Amt]]+Table1[[#This Row],[Federal Taxes Owed (No AMT)]]</f>
        <v>15205</v>
      </c>
      <c r="Y333" s="9">
        <f>IF(Table1[[#This Row],[taxable wages]]&gt;obamacare_surcharge_amount,obamacare_surcharge_percent*(Table1[[#This Row],[taxable wages]]-obamacare_surcharge_amount),0)</f>
        <v>0</v>
      </c>
      <c r="Z333" s="9">
        <f>Table1[[#This Row],[Federal Taxes Owed (Includes AMT)]]+Table1[[#This Row],[Obamacare surcharge premium]]</f>
        <v>15205</v>
      </c>
      <c r="AA333" s="9">
        <f>Table1[[#This Row],[taxable wages]]-Table1[[#This Row],[Federal Taxes Owed2]]</f>
        <v>132795</v>
      </c>
      <c r="AB333" s="51">
        <f t="shared" si="31"/>
        <v>0.3</v>
      </c>
      <c r="AC333" s="41"/>
      <c r="AD333" s="13"/>
      <c r="AE333" s="13"/>
    </row>
    <row r="334" spans="2:31" x14ac:dyDescent="0.3">
      <c r="B334" s="41">
        <f t="shared" si="32"/>
        <v>148500</v>
      </c>
      <c r="C334" s="1">
        <f>Table1[[#This Row],[taxable wages]]</f>
        <v>148500</v>
      </c>
      <c r="D334" s="1">
        <f>Table1[[#This Row],[taxable wages]]+interest+dividends+short_term_capital_gains+long_term_capital_gains</f>
        <v>148500</v>
      </c>
      <c r="E334" s="1">
        <f>MAX(Table1[[#This Row],[earned income for EITC]:[Agi For Eitc Calc]])</f>
        <v>148500</v>
      </c>
      <c r="F334" s="1">
        <f>Table1[[#This Row],[taxable wages]]+interest+dividends+short_term_capital_gains+long_term_capital_gains-(trad_ira_contributions+MIN(student_loan_interest_cap,student_loan_interest))</f>
        <v>148500</v>
      </c>
      <c r="G334" s="1">
        <f t="shared" si="28"/>
        <v>12600</v>
      </c>
      <c r="H334" s="1">
        <f t="shared" si="29"/>
        <v>28350</v>
      </c>
      <c r="I334" s="1">
        <f>MAX(0,Table1[[#This Row],[Agi]]-Table1[[#This Row],[Exemptions]]-Table1[[#This Row],[Effective Deductions]])</f>
        <v>107550</v>
      </c>
      <c r="J3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18430</v>
      </c>
      <c r="K334" s="1">
        <f t="shared" si="30"/>
        <v>5000</v>
      </c>
      <c r="L334" s="1">
        <f>IF(Table1[[#This Row],[Agi]]&gt;ctc_phase_out_begins,ctc_phase_out_rate*(Table1[[#This Row],[Agi]]-ctc_phase_out_begins),0)</f>
        <v>1925</v>
      </c>
      <c r="M334" s="1">
        <f>MAX(Table1[[#This Row],[Child Tax Credit]]-Table1[[#This Row],[Child Tax Credit Phase Out]],0)</f>
        <v>3075</v>
      </c>
      <c r="N334" s="1">
        <f>MAX(Table1[[#This Row],[Regular Taxes Owed]]-Table1[[#This Row],[Effective Child Tax Credit]],0)</f>
        <v>15355</v>
      </c>
      <c r="O334" s="1">
        <f>MAX(MIN((Table1[[#This Row],[taxable wages]]-3000)*0.15,1000*num_kids_16_younger),0)</f>
        <v>5000</v>
      </c>
      <c r="P334" s="9">
        <f>IF(Table1[[#This Row],[Effective Child Tax Credit]]&gt;Table1[[#This Row],[Regular Taxes Owed]],Table1[[#This Row],[Additional Child Tax Credit ]]-Table1[[#This Row],[Regular Taxes Owed]],0)</f>
        <v>0</v>
      </c>
      <c r="Q3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4" s="1">
        <f>Table1[[#This Row],[Effective Additional Child Tax Credit]]+Table1[[#This Row],[Eitc]]</f>
        <v>0</v>
      </c>
      <c r="S334" s="9">
        <f>Table1[[#This Row],[Regular Taxes Owed - Effective Child Tax Credit]]-Table1[[#This Row],[Total Credits]]</f>
        <v>15355</v>
      </c>
      <c r="T334" s="9">
        <f>Table1[[#This Row],[taxable wages]]+interest+dividends+short_term_capital_gains+long_term_capital_gains-(charitable_donations+mortgage_interest)</f>
        <v>148500</v>
      </c>
      <c r="U334" s="9">
        <f>MAX(amt_exemption-amt_exemption_phase_out_rate*MAX(Table1[[#This Row],[taxable wages]]-amt_phase_out_begins,0),0)</f>
        <v>83800</v>
      </c>
      <c r="V3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16822</v>
      </c>
      <c r="W334" s="1">
        <f>IF(AND(Table1[[#This Row],[AMT Taxes]]&gt;Table1[[#This Row],[Regular Taxes Owed]],Table1[[#This Row],[AMT Taxes]]&gt;0),Table1[[#This Row],[AMT Taxes]]-Table1[[#This Row],[Regular Taxes Owed]],0)</f>
        <v>0</v>
      </c>
      <c r="X334" s="9">
        <f>Table1[[#This Row],[Extra Taxes From Amt]]+Table1[[#This Row],[Federal Taxes Owed (No AMT)]]</f>
        <v>15355</v>
      </c>
      <c r="Y334" s="9">
        <f>IF(Table1[[#This Row],[taxable wages]]&gt;obamacare_surcharge_amount,obamacare_surcharge_percent*(Table1[[#This Row],[taxable wages]]-obamacare_surcharge_amount),0)</f>
        <v>0</v>
      </c>
      <c r="Z334" s="9">
        <f>Table1[[#This Row],[Federal Taxes Owed (Includes AMT)]]+Table1[[#This Row],[Obamacare surcharge premium]]</f>
        <v>15355</v>
      </c>
      <c r="AA334" s="9">
        <f>Table1[[#This Row],[taxable wages]]-Table1[[#This Row],[Federal Taxes Owed2]]</f>
        <v>133145</v>
      </c>
      <c r="AB334" s="51">
        <f t="shared" si="31"/>
        <v>0.3</v>
      </c>
      <c r="AC334" s="41"/>
      <c r="AD334" s="13"/>
      <c r="AE334" s="13"/>
    </row>
    <row r="335" spans="2:31" x14ac:dyDescent="0.3">
      <c r="B335" s="41">
        <f t="shared" si="32"/>
        <v>149000</v>
      </c>
      <c r="C335" s="1">
        <f>Table1[[#This Row],[taxable wages]]</f>
        <v>149000</v>
      </c>
      <c r="D335" s="1">
        <f>Table1[[#This Row],[taxable wages]]+interest+dividends+short_term_capital_gains+long_term_capital_gains</f>
        <v>149000</v>
      </c>
      <c r="E335" s="1">
        <f>MAX(Table1[[#This Row],[earned income for EITC]:[Agi For Eitc Calc]])</f>
        <v>149000</v>
      </c>
      <c r="F335" s="1">
        <f>Table1[[#This Row],[taxable wages]]+interest+dividends+short_term_capital_gains+long_term_capital_gains-(trad_ira_contributions+MIN(student_loan_interest_cap,student_loan_interest))</f>
        <v>149000</v>
      </c>
      <c r="G335" s="1">
        <f t="shared" si="28"/>
        <v>12600</v>
      </c>
      <c r="H335" s="1">
        <f t="shared" si="29"/>
        <v>28350</v>
      </c>
      <c r="I335" s="1">
        <f>MAX(0,Table1[[#This Row],[Agi]]-Table1[[#This Row],[Exemptions]]-Table1[[#This Row],[Effective Deductions]])</f>
        <v>108050</v>
      </c>
      <c r="J3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18555</v>
      </c>
      <c r="K335" s="1">
        <f t="shared" si="30"/>
        <v>5000</v>
      </c>
      <c r="L335" s="1">
        <f>IF(Table1[[#This Row],[Agi]]&gt;ctc_phase_out_begins,ctc_phase_out_rate*(Table1[[#This Row],[Agi]]-ctc_phase_out_begins),0)</f>
        <v>1950</v>
      </c>
      <c r="M335" s="1">
        <f>MAX(Table1[[#This Row],[Child Tax Credit]]-Table1[[#This Row],[Child Tax Credit Phase Out]],0)</f>
        <v>3050</v>
      </c>
      <c r="N335" s="1">
        <f>MAX(Table1[[#This Row],[Regular Taxes Owed]]-Table1[[#This Row],[Effective Child Tax Credit]],0)</f>
        <v>15505</v>
      </c>
      <c r="O335" s="1">
        <f>MAX(MIN((Table1[[#This Row],[taxable wages]]-3000)*0.15,1000*num_kids_16_younger),0)</f>
        <v>5000</v>
      </c>
      <c r="P335" s="9">
        <f>IF(Table1[[#This Row],[Effective Child Tax Credit]]&gt;Table1[[#This Row],[Regular Taxes Owed]],Table1[[#This Row],[Additional Child Tax Credit ]]-Table1[[#This Row],[Regular Taxes Owed]],0)</f>
        <v>0</v>
      </c>
      <c r="Q3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5" s="1">
        <f>Table1[[#This Row],[Effective Additional Child Tax Credit]]+Table1[[#This Row],[Eitc]]</f>
        <v>0</v>
      </c>
      <c r="S335" s="9">
        <f>Table1[[#This Row],[Regular Taxes Owed - Effective Child Tax Credit]]-Table1[[#This Row],[Total Credits]]</f>
        <v>15505</v>
      </c>
      <c r="T335" s="9">
        <f>Table1[[#This Row],[taxable wages]]+interest+dividends+short_term_capital_gains+long_term_capital_gains-(charitable_donations+mortgage_interest)</f>
        <v>149000</v>
      </c>
      <c r="U335" s="9">
        <f>MAX(amt_exemption-amt_exemption_phase_out_rate*MAX(Table1[[#This Row],[taxable wages]]-amt_phase_out_begins,0),0)</f>
        <v>83800</v>
      </c>
      <c r="V3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16952</v>
      </c>
      <c r="W335" s="1">
        <f>IF(AND(Table1[[#This Row],[AMT Taxes]]&gt;Table1[[#This Row],[Regular Taxes Owed]],Table1[[#This Row],[AMT Taxes]]&gt;0),Table1[[#This Row],[AMT Taxes]]-Table1[[#This Row],[Regular Taxes Owed]],0)</f>
        <v>0</v>
      </c>
      <c r="X335" s="9">
        <f>Table1[[#This Row],[Extra Taxes From Amt]]+Table1[[#This Row],[Federal Taxes Owed (No AMT)]]</f>
        <v>15505</v>
      </c>
      <c r="Y335" s="9">
        <f>IF(Table1[[#This Row],[taxable wages]]&gt;obamacare_surcharge_amount,obamacare_surcharge_percent*(Table1[[#This Row],[taxable wages]]-obamacare_surcharge_amount),0)</f>
        <v>0</v>
      </c>
      <c r="Z335" s="9">
        <f>Table1[[#This Row],[Federal Taxes Owed (Includes AMT)]]+Table1[[#This Row],[Obamacare surcharge premium]]</f>
        <v>15505</v>
      </c>
      <c r="AA335" s="9">
        <f>Table1[[#This Row],[taxable wages]]-Table1[[#This Row],[Federal Taxes Owed2]]</f>
        <v>133495</v>
      </c>
      <c r="AB335" s="51">
        <f t="shared" si="31"/>
        <v>0.3</v>
      </c>
      <c r="AC335" s="41"/>
      <c r="AD335" s="13"/>
      <c r="AE335" s="13"/>
    </row>
    <row r="336" spans="2:31" x14ac:dyDescent="0.3">
      <c r="B336" s="41">
        <f t="shared" si="32"/>
        <v>149500</v>
      </c>
      <c r="C336" s="1">
        <f>Table1[[#This Row],[taxable wages]]</f>
        <v>149500</v>
      </c>
      <c r="D336" s="1">
        <f>Table1[[#This Row],[taxable wages]]+interest+dividends+short_term_capital_gains+long_term_capital_gains</f>
        <v>149500</v>
      </c>
      <c r="E336" s="1">
        <f>MAX(Table1[[#This Row],[earned income for EITC]:[Agi For Eitc Calc]])</f>
        <v>149500</v>
      </c>
      <c r="F336" s="1">
        <f>Table1[[#This Row],[taxable wages]]+interest+dividends+short_term_capital_gains+long_term_capital_gains-(trad_ira_contributions+MIN(student_loan_interest_cap,student_loan_interest))</f>
        <v>149500</v>
      </c>
      <c r="G336" s="1">
        <f t="shared" si="28"/>
        <v>12600</v>
      </c>
      <c r="H336" s="1">
        <f t="shared" si="29"/>
        <v>28350</v>
      </c>
      <c r="I336" s="1">
        <f>MAX(0,Table1[[#This Row],[Agi]]-Table1[[#This Row],[Exemptions]]-Table1[[#This Row],[Effective Deductions]])</f>
        <v>108550</v>
      </c>
      <c r="J3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18680</v>
      </c>
      <c r="K336" s="1">
        <f t="shared" si="30"/>
        <v>5000</v>
      </c>
      <c r="L336" s="1">
        <f>IF(Table1[[#This Row],[Agi]]&gt;ctc_phase_out_begins,ctc_phase_out_rate*(Table1[[#This Row],[Agi]]-ctc_phase_out_begins),0)</f>
        <v>1975</v>
      </c>
      <c r="M336" s="1">
        <f>MAX(Table1[[#This Row],[Child Tax Credit]]-Table1[[#This Row],[Child Tax Credit Phase Out]],0)</f>
        <v>3025</v>
      </c>
      <c r="N336" s="1">
        <f>MAX(Table1[[#This Row],[Regular Taxes Owed]]-Table1[[#This Row],[Effective Child Tax Credit]],0)</f>
        <v>15655</v>
      </c>
      <c r="O336" s="1">
        <f>MAX(MIN((Table1[[#This Row],[taxable wages]]-3000)*0.15,1000*num_kids_16_younger),0)</f>
        <v>5000</v>
      </c>
      <c r="P336" s="9">
        <f>IF(Table1[[#This Row],[Effective Child Tax Credit]]&gt;Table1[[#This Row],[Regular Taxes Owed]],Table1[[#This Row],[Additional Child Tax Credit ]]-Table1[[#This Row],[Regular Taxes Owed]],0)</f>
        <v>0</v>
      </c>
      <c r="Q3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6" s="1">
        <f>Table1[[#This Row],[Effective Additional Child Tax Credit]]+Table1[[#This Row],[Eitc]]</f>
        <v>0</v>
      </c>
      <c r="S336" s="9">
        <f>Table1[[#This Row],[Regular Taxes Owed - Effective Child Tax Credit]]-Table1[[#This Row],[Total Credits]]</f>
        <v>15655</v>
      </c>
      <c r="T336" s="9">
        <f>Table1[[#This Row],[taxable wages]]+interest+dividends+short_term_capital_gains+long_term_capital_gains-(charitable_donations+mortgage_interest)</f>
        <v>149500</v>
      </c>
      <c r="U336" s="9">
        <f>MAX(amt_exemption-amt_exemption_phase_out_rate*MAX(Table1[[#This Row],[taxable wages]]-amt_phase_out_begins,0),0)</f>
        <v>83800</v>
      </c>
      <c r="V3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17082</v>
      </c>
      <c r="W336" s="1">
        <f>IF(AND(Table1[[#This Row],[AMT Taxes]]&gt;Table1[[#This Row],[Regular Taxes Owed]],Table1[[#This Row],[AMT Taxes]]&gt;0),Table1[[#This Row],[AMT Taxes]]-Table1[[#This Row],[Regular Taxes Owed]],0)</f>
        <v>0</v>
      </c>
      <c r="X336" s="9">
        <f>Table1[[#This Row],[Extra Taxes From Amt]]+Table1[[#This Row],[Federal Taxes Owed (No AMT)]]</f>
        <v>15655</v>
      </c>
      <c r="Y336" s="9">
        <f>IF(Table1[[#This Row],[taxable wages]]&gt;obamacare_surcharge_amount,obamacare_surcharge_percent*(Table1[[#This Row],[taxable wages]]-obamacare_surcharge_amount),0)</f>
        <v>0</v>
      </c>
      <c r="Z336" s="9">
        <f>Table1[[#This Row],[Federal Taxes Owed (Includes AMT)]]+Table1[[#This Row],[Obamacare surcharge premium]]</f>
        <v>15655</v>
      </c>
      <c r="AA336" s="9">
        <f>Table1[[#This Row],[taxable wages]]-Table1[[#This Row],[Federal Taxes Owed2]]</f>
        <v>133845</v>
      </c>
      <c r="AB336" s="51">
        <f t="shared" si="31"/>
        <v>0.3</v>
      </c>
      <c r="AC336" s="41"/>
      <c r="AD336" s="13"/>
      <c r="AE336" s="13"/>
    </row>
    <row r="337" spans="2:31" x14ac:dyDescent="0.3">
      <c r="B337" s="41">
        <f t="shared" si="32"/>
        <v>150000</v>
      </c>
      <c r="C337" s="1">
        <f>Table1[[#This Row],[taxable wages]]</f>
        <v>150000</v>
      </c>
      <c r="D337" s="1">
        <f>Table1[[#This Row],[taxable wages]]+interest+dividends+short_term_capital_gains+long_term_capital_gains</f>
        <v>150000</v>
      </c>
      <c r="E337" s="1">
        <f>MAX(Table1[[#This Row],[earned income for EITC]:[Agi For Eitc Calc]])</f>
        <v>150000</v>
      </c>
      <c r="F337" s="1">
        <f>Table1[[#This Row],[taxable wages]]+interest+dividends+short_term_capital_gains+long_term_capital_gains-(trad_ira_contributions+MIN(student_loan_interest_cap,student_loan_interest))</f>
        <v>150000</v>
      </c>
      <c r="G337" s="1">
        <f t="shared" si="28"/>
        <v>12600</v>
      </c>
      <c r="H337" s="1">
        <f t="shared" si="29"/>
        <v>28350</v>
      </c>
      <c r="I337" s="1">
        <f>MAX(0,Table1[[#This Row],[Agi]]-Table1[[#This Row],[Exemptions]]-Table1[[#This Row],[Effective Deductions]])</f>
        <v>109050</v>
      </c>
      <c r="J3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18805</v>
      </c>
      <c r="K337" s="1">
        <f t="shared" si="30"/>
        <v>5000</v>
      </c>
      <c r="L337" s="1">
        <f>IF(Table1[[#This Row],[Agi]]&gt;ctc_phase_out_begins,ctc_phase_out_rate*(Table1[[#This Row],[Agi]]-ctc_phase_out_begins),0)</f>
        <v>2000</v>
      </c>
      <c r="M337" s="1">
        <f>MAX(Table1[[#This Row],[Child Tax Credit]]-Table1[[#This Row],[Child Tax Credit Phase Out]],0)</f>
        <v>3000</v>
      </c>
      <c r="N337" s="1">
        <f>MAX(Table1[[#This Row],[Regular Taxes Owed]]-Table1[[#This Row],[Effective Child Tax Credit]],0)</f>
        <v>15805</v>
      </c>
      <c r="O337" s="1">
        <f>MAX(MIN((Table1[[#This Row],[taxable wages]]-3000)*0.15,1000*num_kids_16_younger),0)</f>
        <v>5000</v>
      </c>
      <c r="P337" s="9">
        <f>IF(Table1[[#This Row],[Effective Child Tax Credit]]&gt;Table1[[#This Row],[Regular Taxes Owed]],Table1[[#This Row],[Additional Child Tax Credit ]]-Table1[[#This Row],[Regular Taxes Owed]],0)</f>
        <v>0</v>
      </c>
      <c r="Q3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7" s="1">
        <f>Table1[[#This Row],[Effective Additional Child Tax Credit]]+Table1[[#This Row],[Eitc]]</f>
        <v>0</v>
      </c>
      <c r="S337" s="9">
        <f>Table1[[#This Row],[Regular Taxes Owed - Effective Child Tax Credit]]-Table1[[#This Row],[Total Credits]]</f>
        <v>15805</v>
      </c>
      <c r="T337" s="9">
        <f>Table1[[#This Row],[taxable wages]]+interest+dividends+short_term_capital_gains+long_term_capital_gains-(charitable_donations+mortgage_interest)</f>
        <v>150000</v>
      </c>
      <c r="U337" s="9">
        <f>MAX(amt_exemption-amt_exemption_phase_out_rate*MAX(Table1[[#This Row],[taxable wages]]-amt_phase_out_begins,0),0)</f>
        <v>83800</v>
      </c>
      <c r="V3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17212</v>
      </c>
      <c r="W337" s="1">
        <f>IF(AND(Table1[[#This Row],[AMT Taxes]]&gt;Table1[[#This Row],[Regular Taxes Owed]],Table1[[#This Row],[AMT Taxes]]&gt;0),Table1[[#This Row],[AMT Taxes]]-Table1[[#This Row],[Regular Taxes Owed]],0)</f>
        <v>0</v>
      </c>
      <c r="X337" s="9">
        <f>Table1[[#This Row],[Extra Taxes From Amt]]+Table1[[#This Row],[Federal Taxes Owed (No AMT)]]</f>
        <v>15805</v>
      </c>
      <c r="Y337" s="9">
        <f>IF(Table1[[#This Row],[taxable wages]]&gt;obamacare_surcharge_amount,obamacare_surcharge_percent*(Table1[[#This Row],[taxable wages]]-obamacare_surcharge_amount),0)</f>
        <v>0</v>
      </c>
      <c r="Z337" s="9">
        <f>Table1[[#This Row],[Federal Taxes Owed (Includes AMT)]]+Table1[[#This Row],[Obamacare surcharge premium]]</f>
        <v>15805</v>
      </c>
      <c r="AA337" s="9">
        <f>Table1[[#This Row],[taxable wages]]-Table1[[#This Row],[Federal Taxes Owed2]]</f>
        <v>134195</v>
      </c>
      <c r="AB337" s="51">
        <f t="shared" si="31"/>
        <v>0.3</v>
      </c>
      <c r="AC337" s="41"/>
      <c r="AD337" s="13"/>
      <c r="AE337" s="13"/>
    </row>
    <row r="338" spans="2:31" x14ac:dyDescent="0.3">
      <c r="B338" s="41">
        <f t="shared" si="32"/>
        <v>150500</v>
      </c>
      <c r="C338" s="1">
        <f>Table1[[#This Row],[taxable wages]]</f>
        <v>150500</v>
      </c>
      <c r="D338" s="1">
        <f>Table1[[#This Row],[taxable wages]]+interest+dividends+short_term_capital_gains+long_term_capital_gains</f>
        <v>150500</v>
      </c>
      <c r="E338" s="1">
        <f>MAX(Table1[[#This Row],[earned income for EITC]:[Agi For Eitc Calc]])</f>
        <v>150500</v>
      </c>
      <c r="F338" s="1">
        <f>Table1[[#This Row],[taxable wages]]+interest+dividends+short_term_capital_gains+long_term_capital_gains-(trad_ira_contributions+MIN(student_loan_interest_cap,student_loan_interest))</f>
        <v>150500</v>
      </c>
      <c r="G338" s="1">
        <f t="shared" si="28"/>
        <v>12600</v>
      </c>
      <c r="H338" s="1">
        <f t="shared" si="29"/>
        <v>28350</v>
      </c>
      <c r="I338" s="1">
        <f>MAX(0,Table1[[#This Row],[Agi]]-Table1[[#This Row],[Exemptions]]-Table1[[#This Row],[Effective Deductions]])</f>
        <v>109550</v>
      </c>
      <c r="J3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18930</v>
      </c>
      <c r="K338" s="1">
        <f t="shared" si="30"/>
        <v>5000</v>
      </c>
      <c r="L338" s="1">
        <f>IF(Table1[[#This Row],[Agi]]&gt;ctc_phase_out_begins,ctc_phase_out_rate*(Table1[[#This Row],[Agi]]-ctc_phase_out_begins),0)</f>
        <v>2025</v>
      </c>
      <c r="M338" s="1">
        <f>MAX(Table1[[#This Row],[Child Tax Credit]]-Table1[[#This Row],[Child Tax Credit Phase Out]],0)</f>
        <v>2975</v>
      </c>
      <c r="N338" s="1">
        <f>MAX(Table1[[#This Row],[Regular Taxes Owed]]-Table1[[#This Row],[Effective Child Tax Credit]],0)</f>
        <v>15955</v>
      </c>
      <c r="O338" s="1">
        <f>MAX(MIN((Table1[[#This Row],[taxable wages]]-3000)*0.15,1000*num_kids_16_younger),0)</f>
        <v>5000</v>
      </c>
      <c r="P338" s="9">
        <f>IF(Table1[[#This Row],[Effective Child Tax Credit]]&gt;Table1[[#This Row],[Regular Taxes Owed]],Table1[[#This Row],[Additional Child Tax Credit ]]-Table1[[#This Row],[Regular Taxes Owed]],0)</f>
        <v>0</v>
      </c>
      <c r="Q3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8" s="1">
        <f>Table1[[#This Row],[Effective Additional Child Tax Credit]]+Table1[[#This Row],[Eitc]]</f>
        <v>0</v>
      </c>
      <c r="S338" s="9">
        <f>Table1[[#This Row],[Regular Taxes Owed - Effective Child Tax Credit]]-Table1[[#This Row],[Total Credits]]</f>
        <v>15955</v>
      </c>
      <c r="T338" s="9">
        <f>Table1[[#This Row],[taxable wages]]+interest+dividends+short_term_capital_gains+long_term_capital_gains-(charitable_donations+mortgage_interest)</f>
        <v>150500</v>
      </c>
      <c r="U338" s="9">
        <f>MAX(amt_exemption-amt_exemption_phase_out_rate*MAX(Table1[[#This Row],[taxable wages]]-amt_phase_out_begins,0),0)</f>
        <v>83800</v>
      </c>
      <c r="V3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17342</v>
      </c>
      <c r="W338" s="1">
        <f>IF(AND(Table1[[#This Row],[AMT Taxes]]&gt;Table1[[#This Row],[Regular Taxes Owed]],Table1[[#This Row],[AMT Taxes]]&gt;0),Table1[[#This Row],[AMT Taxes]]-Table1[[#This Row],[Regular Taxes Owed]],0)</f>
        <v>0</v>
      </c>
      <c r="X338" s="9">
        <f>Table1[[#This Row],[Extra Taxes From Amt]]+Table1[[#This Row],[Federal Taxes Owed (No AMT)]]</f>
        <v>15955</v>
      </c>
      <c r="Y338" s="9">
        <f>IF(Table1[[#This Row],[taxable wages]]&gt;obamacare_surcharge_amount,obamacare_surcharge_percent*(Table1[[#This Row],[taxable wages]]-obamacare_surcharge_amount),0)</f>
        <v>0</v>
      </c>
      <c r="Z338" s="9">
        <f>Table1[[#This Row],[Federal Taxes Owed (Includes AMT)]]+Table1[[#This Row],[Obamacare surcharge premium]]</f>
        <v>15955</v>
      </c>
      <c r="AA338" s="9">
        <f>Table1[[#This Row],[taxable wages]]-Table1[[#This Row],[Federal Taxes Owed2]]</f>
        <v>134545</v>
      </c>
      <c r="AB338" s="51">
        <f t="shared" si="31"/>
        <v>0.3</v>
      </c>
      <c r="AC338" s="41"/>
      <c r="AD338" s="13"/>
      <c r="AE338" s="13"/>
    </row>
    <row r="339" spans="2:31" x14ac:dyDescent="0.3">
      <c r="B339" s="41">
        <f t="shared" si="32"/>
        <v>151000</v>
      </c>
      <c r="C339" s="1">
        <f>Table1[[#This Row],[taxable wages]]</f>
        <v>151000</v>
      </c>
      <c r="D339" s="1">
        <f>Table1[[#This Row],[taxable wages]]+interest+dividends+short_term_capital_gains+long_term_capital_gains</f>
        <v>151000</v>
      </c>
      <c r="E339" s="1">
        <f>MAX(Table1[[#This Row],[earned income for EITC]:[Agi For Eitc Calc]])</f>
        <v>151000</v>
      </c>
      <c r="F339" s="1">
        <f>Table1[[#This Row],[taxable wages]]+interest+dividends+short_term_capital_gains+long_term_capital_gains-(trad_ira_contributions+MIN(student_loan_interest_cap,student_loan_interest))</f>
        <v>151000</v>
      </c>
      <c r="G339" s="1">
        <f t="shared" si="28"/>
        <v>12600</v>
      </c>
      <c r="H339" s="1">
        <f t="shared" si="29"/>
        <v>28350</v>
      </c>
      <c r="I339" s="1">
        <f>MAX(0,Table1[[#This Row],[Agi]]-Table1[[#This Row],[Exemptions]]-Table1[[#This Row],[Effective Deductions]])</f>
        <v>110050</v>
      </c>
      <c r="J3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19055</v>
      </c>
      <c r="K339" s="1">
        <f t="shared" si="30"/>
        <v>5000</v>
      </c>
      <c r="L339" s="1">
        <f>IF(Table1[[#This Row],[Agi]]&gt;ctc_phase_out_begins,ctc_phase_out_rate*(Table1[[#This Row],[Agi]]-ctc_phase_out_begins),0)</f>
        <v>2050</v>
      </c>
      <c r="M339" s="1">
        <f>MAX(Table1[[#This Row],[Child Tax Credit]]-Table1[[#This Row],[Child Tax Credit Phase Out]],0)</f>
        <v>2950</v>
      </c>
      <c r="N339" s="1">
        <f>MAX(Table1[[#This Row],[Regular Taxes Owed]]-Table1[[#This Row],[Effective Child Tax Credit]],0)</f>
        <v>16105</v>
      </c>
      <c r="O339" s="1">
        <f>MAX(MIN((Table1[[#This Row],[taxable wages]]-3000)*0.15,1000*num_kids_16_younger),0)</f>
        <v>5000</v>
      </c>
      <c r="P339" s="9">
        <f>IF(Table1[[#This Row],[Effective Child Tax Credit]]&gt;Table1[[#This Row],[Regular Taxes Owed]],Table1[[#This Row],[Additional Child Tax Credit ]]-Table1[[#This Row],[Regular Taxes Owed]],0)</f>
        <v>0</v>
      </c>
      <c r="Q3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39" s="1">
        <f>Table1[[#This Row],[Effective Additional Child Tax Credit]]+Table1[[#This Row],[Eitc]]</f>
        <v>0</v>
      </c>
      <c r="S339" s="9">
        <f>Table1[[#This Row],[Regular Taxes Owed - Effective Child Tax Credit]]-Table1[[#This Row],[Total Credits]]</f>
        <v>16105</v>
      </c>
      <c r="T339" s="9">
        <f>Table1[[#This Row],[taxable wages]]+interest+dividends+short_term_capital_gains+long_term_capital_gains-(charitable_donations+mortgage_interest)</f>
        <v>151000</v>
      </c>
      <c r="U339" s="9">
        <f>MAX(amt_exemption-amt_exemption_phase_out_rate*MAX(Table1[[#This Row],[taxable wages]]-amt_phase_out_begins,0),0)</f>
        <v>83800</v>
      </c>
      <c r="V3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17472</v>
      </c>
      <c r="W339" s="1">
        <f>IF(AND(Table1[[#This Row],[AMT Taxes]]&gt;Table1[[#This Row],[Regular Taxes Owed]],Table1[[#This Row],[AMT Taxes]]&gt;0),Table1[[#This Row],[AMT Taxes]]-Table1[[#This Row],[Regular Taxes Owed]],0)</f>
        <v>0</v>
      </c>
      <c r="X339" s="9">
        <f>Table1[[#This Row],[Extra Taxes From Amt]]+Table1[[#This Row],[Federal Taxes Owed (No AMT)]]</f>
        <v>16105</v>
      </c>
      <c r="Y339" s="9">
        <f>IF(Table1[[#This Row],[taxable wages]]&gt;obamacare_surcharge_amount,obamacare_surcharge_percent*(Table1[[#This Row],[taxable wages]]-obamacare_surcharge_amount),0)</f>
        <v>0</v>
      </c>
      <c r="Z339" s="9">
        <f>Table1[[#This Row],[Federal Taxes Owed (Includes AMT)]]+Table1[[#This Row],[Obamacare surcharge premium]]</f>
        <v>16105</v>
      </c>
      <c r="AA339" s="9">
        <f>Table1[[#This Row],[taxable wages]]-Table1[[#This Row],[Federal Taxes Owed2]]</f>
        <v>134895</v>
      </c>
      <c r="AB339" s="51">
        <f t="shared" si="31"/>
        <v>0.3</v>
      </c>
      <c r="AC339" s="41"/>
      <c r="AD339" s="13"/>
      <c r="AE339" s="13"/>
    </row>
    <row r="340" spans="2:31" x14ac:dyDescent="0.3">
      <c r="B340" s="41">
        <f t="shared" si="32"/>
        <v>151500</v>
      </c>
      <c r="C340" s="1">
        <f>Table1[[#This Row],[taxable wages]]</f>
        <v>151500</v>
      </c>
      <c r="D340" s="1">
        <f>Table1[[#This Row],[taxable wages]]+interest+dividends+short_term_capital_gains+long_term_capital_gains</f>
        <v>151500</v>
      </c>
      <c r="E340" s="1">
        <f>MAX(Table1[[#This Row],[earned income for EITC]:[Agi For Eitc Calc]])</f>
        <v>151500</v>
      </c>
      <c r="F340" s="1">
        <f>Table1[[#This Row],[taxable wages]]+interest+dividends+short_term_capital_gains+long_term_capital_gains-(trad_ira_contributions+MIN(student_loan_interest_cap,student_loan_interest))</f>
        <v>151500</v>
      </c>
      <c r="G340" s="1">
        <f t="shared" si="28"/>
        <v>12600</v>
      </c>
      <c r="H340" s="1">
        <f t="shared" si="29"/>
        <v>28350</v>
      </c>
      <c r="I340" s="1">
        <f>MAX(0,Table1[[#This Row],[Agi]]-Table1[[#This Row],[Exemptions]]-Table1[[#This Row],[Effective Deductions]])</f>
        <v>110550</v>
      </c>
      <c r="J3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19180</v>
      </c>
      <c r="K340" s="1">
        <f t="shared" si="30"/>
        <v>5000</v>
      </c>
      <c r="L340" s="1">
        <f>IF(Table1[[#This Row],[Agi]]&gt;ctc_phase_out_begins,ctc_phase_out_rate*(Table1[[#This Row],[Agi]]-ctc_phase_out_begins),0)</f>
        <v>2075</v>
      </c>
      <c r="M340" s="1">
        <f>MAX(Table1[[#This Row],[Child Tax Credit]]-Table1[[#This Row],[Child Tax Credit Phase Out]],0)</f>
        <v>2925</v>
      </c>
      <c r="N340" s="1">
        <f>MAX(Table1[[#This Row],[Regular Taxes Owed]]-Table1[[#This Row],[Effective Child Tax Credit]],0)</f>
        <v>16255</v>
      </c>
      <c r="O340" s="1">
        <f>MAX(MIN((Table1[[#This Row],[taxable wages]]-3000)*0.15,1000*num_kids_16_younger),0)</f>
        <v>5000</v>
      </c>
      <c r="P340" s="9">
        <f>IF(Table1[[#This Row],[Effective Child Tax Credit]]&gt;Table1[[#This Row],[Regular Taxes Owed]],Table1[[#This Row],[Additional Child Tax Credit ]]-Table1[[#This Row],[Regular Taxes Owed]],0)</f>
        <v>0</v>
      </c>
      <c r="Q3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0" s="1">
        <f>Table1[[#This Row],[Effective Additional Child Tax Credit]]+Table1[[#This Row],[Eitc]]</f>
        <v>0</v>
      </c>
      <c r="S340" s="9">
        <f>Table1[[#This Row],[Regular Taxes Owed - Effective Child Tax Credit]]-Table1[[#This Row],[Total Credits]]</f>
        <v>16255</v>
      </c>
      <c r="T340" s="9">
        <f>Table1[[#This Row],[taxable wages]]+interest+dividends+short_term_capital_gains+long_term_capital_gains-(charitable_donations+mortgage_interest)</f>
        <v>151500</v>
      </c>
      <c r="U340" s="9">
        <f>MAX(amt_exemption-amt_exemption_phase_out_rate*MAX(Table1[[#This Row],[taxable wages]]-amt_phase_out_begins,0),0)</f>
        <v>83800</v>
      </c>
      <c r="V3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17602</v>
      </c>
      <c r="W340" s="1">
        <f>IF(AND(Table1[[#This Row],[AMT Taxes]]&gt;Table1[[#This Row],[Regular Taxes Owed]],Table1[[#This Row],[AMT Taxes]]&gt;0),Table1[[#This Row],[AMT Taxes]]-Table1[[#This Row],[Regular Taxes Owed]],0)</f>
        <v>0</v>
      </c>
      <c r="X340" s="9">
        <f>Table1[[#This Row],[Extra Taxes From Amt]]+Table1[[#This Row],[Federal Taxes Owed (No AMT)]]</f>
        <v>16255</v>
      </c>
      <c r="Y340" s="9">
        <f>IF(Table1[[#This Row],[taxable wages]]&gt;obamacare_surcharge_amount,obamacare_surcharge_percent*(Table1[[#This Row],[taxable wages]]-obamacare_surcharge_amount),0)</f>
        <v>0</v>
      </c>
      <c r="Z340" s="9">
        <f>Table1[[#This Row],[Federal Taxes Owed (Includes AMT)]]+Table1[[#This Row],[Obamacare surcharge premium]]</f>
        <v>16255</v>
      </c>
      <c r="AA340" s="9">
        <f>Table1[[#This Row],[taxable wages]]-Table1[[#This Row],[Federal Taxes Owed2]]</f>
        <v>135245</v>
      </c>
      <c r="AB340" s="51">
        <f t="shared" si="31"/>
        <v>0.3</v>
      </c>
      <c r="AC340" s="41"/>
      <c r="AD340" s="13"/>
      <c r="AE340" s="13"/>
    </row>
    <row r="341" spans="2:31" x14ac:dyDescent="0.3">
      <c r="B341" s="41">
        <f t="shared" si="32"/>
        <v>152000</v>
      </c>
      <c r="C341" s="1">
        <f>Table1[[#This Row],[taxable wages]]</f>
        <v>152000</v>
      </c>
      <c r="D341" s="1">
        <f>Table1[[#This Row],[taxable wages]]+interest+dividends+short_term_capital_gains+long_term_capital_gains</f>
        <v>152000</v>
      </c>
      <c r="E341" s="1">
        <f>MAX(Table1[[#This Row],[earned income for EITC]:[Agi For Eitc Calc]])</f>
        <v>152000</v>
      </c>
      <c r="F341" s="1">
        <f>Table1[[#This Row],[taxable wages]]+interest+dividends+short_term_capital_gains+long_term_capital_gains-(trad_ira_contributions+MIN(student_loan_interest_cap,student_loan_interest))</f>
        <v>152000</v>
      </c>
      <c r="G341" s="1">
        <f t="shared" si="28"/>
        <v>12600</v>
      </c>
      <c r="H341" s="1">
        <f t="shared" si="29"/>
        <v>28350</v>
      </c>
      <c r="I341" s="1">
        <f>MAX(0,Table1[[#This Row],[Agi]]-Table1[[#This Row],[Exemptions]]-Table1[[#This Row],[Effective Deductions]])</f>
        <v>111050</v>
      </c>
      <c r="J3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19305</v>
      </c>
      <c r="K341" s="1">
        <f t="shared" si="30"/>
        <v>5000</v>
      </c>
      <c r="L341" s="1">
        <f>IF(Table1[[#This Row],[Agi]]&gt;ctc_phase_out_begins,ctc_phase_out_rate*(Table1[[#This Row],[Agi]]-ctc_phase_out_begins),0)</f>
        <v>2100</v>
      </c>
      <c r="M341" s="1">
        <f>MAX(Table1[[#This Row],[Child Tax Credit]]-Table1[[#This Row],[Child Tax Credit Phase Out]],0)</f>
        <v>2900</v>
      </c>
      <c r="N341" s="1">
        <f>MAX(Table1[[#This Row],[Regular Taxes Owed]]-Table1[[#This Row],[Effective Child Tax Credit]],0)</f>
        <v>16405</v>
      </c>
      <c r="O341" s="1">
        <f>MAX(MIN((Table1[[#This Row],[taxable wages]]-3000)*0.15,1000*num_kids_16_younger),0)</f>
        <v>5000</v>
      </c>
      <c r="P341" s="9">
        <f>IF(Table1[[#This Row],[Effective Child Tax Credit]]&gt;Table1[[#This Row],[Regular Taxes Owed]],Table1[[#This Row],[Additional Child Tax Credit ]]-Table1[[#This Row],[Regular Taxes Owed]],0)</f>
        <v>0</v>
      </c>
      <c r="Q3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1" s="1">
        <f>Table1[[#This Row],[Effective Additional Child Tax Credit]]+Table1[[#This Row],[Eitc]]</f>
        <v>0</v>
      </c>
      <c r="S341" s="9">
        <f>Table1[[#This Row],[Regular Taxes Owed - Effective Child Tax Credit]]-Table1[[#This Row],[Total Credits]]</f>
        <v>16405</v>
      </c>
      <c r="T341" s="9">
        <f>Table1[[#This Row],[taxable wages]]+interest+dividends+short_term_capital_gains+long_term_capital_gains-(charitable_donations+mortgage_interest)</f>
        <v>152000</v>
      </c>
      <c r="U341" s="9">
        <f>MAX(amt_exemption-amt_exemption_phase_out_rate*MAX(Table1[[#This Row],[taxable wages]]-amt_phase_out_begins,0),0)</f>
        <v>83800</v>
      </c>
      <c r="V3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17732</v>
      </c>
      <c r="W341" s="1">
        <f>IF(AND(Table1[[#This Row],[AMT Taxes]]&gt;Table1[[#This Row],[Regular Taxes Owed]],Table1[[#This Row],[AMT Taxes]]&gt;0),Table1[[#This Row],[AMT Taxes]]-Table1[[#This Row],[Regular Taxes Owed]],0)</f>
        <v>0</v>
      </c>
      <c r="X341" s="9">
        <f>Table1[[#This Row],[Extra Taxes From Amt]]+Table1[[#This Row],[Federal Taxes Owed (No AMT)]]</f>
        <v>16405</v>
      </c>
      <c r="Y341" s="9">
        <f>IF(Table1[[#This Row],[taxable wages]]&gt;obamacare_surcharge_amount,obamacare_surcharge_percent*(Table1[[#This Row],[taxable wages]]-obamacare_surcharge_amount),0)</f>
        <v>0</v>
      </c>
      <c r="Z341" s="9">
        <f>Table1[[#This Row],[Federal Taxes Owed (Includes AMT)]]+Table1[[#This Row],[Obamacare surcharge premium]]</f>
        <v>16405</v>
      </c>
      <c r="AA341" s="9">
        <f>Table1[[#This Row],[taxable wages]]-Table1[[#This Row],[Federal Taxes Owed2]]</f>
        <v>135595</v>
      </c>
      <c r="AB341" s="51">
        <f t="shared" si="31"/>
        <v>0.3</v>
      </c>
      <c r="AC341" s="41"/>
      <c r="AD341" s="13"/>
      <c r="AE341" s="13"/>
    </row>
    <row r="342" spans="2:31" x14ac:dyDescent="0.3">
      <c r="B342" s="41">
        <f t="shared" si="32"/>
        <v>152500</v>
      </c>
      <c r="C342" s="1">
        <f>Table1[[#This Row],[taxable wages]]</f>
        <v>152500</v>
      </c>
      <c r="D342" s="1">
        <f>Table1[[#This Row],[taxable wages]]+interest+dividends+short_term_capital_gains+long_term_capital_gains</f>
        <v>152500</v>
      </c>
      <c r="E342" s="1">
        <f>MAX(Table1[[#This Row],[earned income for EITC]:[Agi For Eitc Calc]])</f>
        <v>152500</v>
      </c>
      <c r="F342" s="1">
        <f>Table1[[#This Row],[taxable wages]]+interest+dividends+short_term_capital_gains+long_term_capital_gains-(trad_ira_contributions+MIN(student_loan_interest_cap,student_loan_interest))</f>
        <v>152500</v>
      </c>
      <c r="G342" s="1">
        <f t="shared" si="28"/>
        <v>12600</v>
      </c>
      <c r="H342" s="1">
        <f t="shared" si="29"/>
        <v>28350</v>
      </c>
      <c r="I342" s="1">
        <f>MAX(0,Table1[[#This Row],[Agi]]-Table1[[#This Row],[Exemptions]]-Table1[[#This Row],[Effective Deductions]])</f>
        <v>111550</v>
      </c>
      <c r="J3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19430</v>
      </c>
      <c r="K342" s="1">
        <f t="shared" si="30"/>
        <v>5000</v>
      </c>
      <c r="L342" s="1">
        <f>IF(Table1[[#This Row],[Agi]]&gt;ctc_phase_out_begins,ctc_phase_out_rate*(Table1[[#This Row],[Agi]]-ctc_phase_out_begins),0)</f>
        <v>2125</v>
      </c>
      <c r="M342" s="1">
        <f>MAX(Table1[[#This Row],[Child Tax Credit]]-Table1[[#This Row],[Child Tax Credit Phase Out]],0)</f>
        <v>2875</v>
      </c>
      <c r="N342" s="1">
        <f>MAX(Table1[[#This Row],[Regular Taxes Owed]]-Table1[[#This Row],[Effective Child Tax Credit]],0)</f>
        <v>16555</v>
      </c>
      <c r="O342" s="1">
        <f>MAX(MIN((Table1[[#This Row],[taxable wages]]-3000)*0.15,1000*num_kids_16_younger),0)</f>
        <v>5000</v>
      </c>
      <c r="P342" s="9">
        <f>IF(Table1[[#This Row],[Effective Child Tax Credit]]&gt;Table1[[#This Row],[Regular Taxes Owed]],Table1[[#This Row],[Additional Child Tax Credit ]]-Table1[[#This Row],[Regular Taxes Owed]],0)</f>
        <v>0</v>
      </c>
      <c r="Q3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2" s="1">
        <f>Table1[[#This Row],[Effective Additional Child Tax Credit]]+Table1[[#This Row],[Eitc]]</f>
        <v>0</v>
      </c>
      <c r="S342" s="9">
        <f>Table1[[#This Row],[Regular Taxes Owed - Effective Child Tax Credit]]-Table1[[#This Row],[Total Credits]]</f>
        <v>16555</v>
      </c>
      <c r="T342" s="9">
        <f>Table1[[#This Row],[taxable wages]]+interest+dividends+short_term_capital_gains+long_term_capital_gains-(charitable_donations+mortgage_interest)</f>
        <v>152500</v>
      </c>
      <c r="U342" s="9">
        <f>MAX(amt_exemption-amt_exemption_phase_out_rate*MAX(Table1[[#This Row],[taxable wages]]-amt_phase_out_begins,0),0)</f>
        <v>83800</v>
      </c>
      <c r="V3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17862</v>
      </c>
      <c r="W342" s="1">
        <f>IF(AND(Table1[[#This Row],[AMT Taxes]]&gt;Table1[[#This Row],[Regular Taxes Owed]],Table1[[#This Row],[AMT Taxes]]&gt;0),Table1[[#This Row],[AMT Taxes]]-Table1[[#This Row],[Regular Taxes Owed]],0)</f>
        <v>0</v>
      </c>
      <c r="X342" s="9">
        <f>Table1[[#This Row],[Extra Taxes From Amt]]+Table1[[#This Row],[Federal Taxes Owed (No AMT)]]</f>
        <v>16555</v>
      </c>
      <c r="Y342" s="9">
        <f>IF(Table1[[#This Row],[taxable wages]]&gt;obamacare_surcharge_amount,obamacare_surcharge_percent*(Table1[[#This Row],[taxable wages]]-obamacare_surcharge_amount),0)</f>
        <v>0</v>
      </c>
      <c r="Z342" s="9">
        <f>Table1[[#This Row],[Federal Taxes Owed (Includes AMT)]]+Table1[[#This Row],[Obamacare surcharge premium]]</f>
        <v>16555</v>
      </c>
      <c r="AA342" s="9">
        <f>Table1[[#This Row],[taxable wages]]-Table1[[#This Row],[Federal Taxes Owed2]]</f>
        <v>135945</v>
      </c>
      <c r="AB342" s="51">
        <f t="shared" si="31"/>
        <v>0.3</v>
      </c>
      <c r="AC342" s="41"/>
      <c r="AD342" s="13"/>
      <c r="AE342" s="13"/>
    </row>
    <row r="343" spans="2:31" x14ac:dyDescent="0.3">
      <c r="B343" s="41">
        <f t="shared" si="32"/>
        <v>153000</v>
      </c>
      <c r="C343" s="1">
        <f>Table1[[#This Row],[taxable wages]]</f>
        <v>153000</v>
      </c>
      <c r="D343" s="1">
        <f>Table1[[#This Row],[taxable wages]]+interest+dividends+short_term_capital_gains+long_term_capital_gains</f>
        <v>153000</v>
      </c>
      <c r="E343" s="1">
        <f>MAX(Table1[[#This Row],[earned income for EITC]:[Agi For Eitc Calc]])</f>
        <v>153000</v>
      </c>
      <c r="F343" s="1">
        <f>Table1[[#This Row],[taxable wages]]+interest+dividends+short_term_capital_gains+long_term_capital_gains-(trad_ira_contributions+MIN(student_loan_interest_cap,student_loan_interest))</f>
        <v>153000</v>
      </c>
      <c r="G343" s="1">
        <f t="shared" si="28"/>
        <v>12600</v>
      </c>
      <c r="H343" s="1">
        <f t="shared" si="29"/>
        <v>28350</v>
      </c>
      <c r="I343" s="1">
        <f>MAX(0,Table1[[#This Row],[Agi]]-Table1[[#This Row],[Exemptions]]-Table1[[#This Row],[Effective Deductions]])</f>
        <v>112050</v>
      </c>
      <c r="J3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19555</v>
      </c>
      <c r="K343" s="1">
        <f t="shared" si="30"/>
        <v>5000</v>
      </c>
      <c r="L343" s="1">
        <f>IF(Table1[[#This Row],[Agi]]&gt;ctc_phase_out_begins,ctc_phase_out_rate*(Table1[[#This Row],[Agi]]-ctc_phase_out_begins),0)</f>
        <v>2150</v>
      </c>
      <c r="M343" s="1">
        <f>MAX(Table1[[#This Row],[Child Tax Credit]]-Table1[[#This Row],[Child Tax Credit Phase Out]],0)</f>
        <v>2850</v>
      </c>
      <c r="N343" s="1">
        <f>MAX(Table1[[#This Row],[Regular Taxes Owed]]-Table1[[#This Row],[Effective Child Tax Credit]],0)</f>
        <v>16705</v>
      </c>
      <c r="O343" s="1">
        <f>MAX(MIN((Table1[[#This Row],[taxable wages]]-3000)*0.15,1000*num_kids_16_younger),0)</f>
        <v>5000</v>
      </c>
      <c r="P343" s="9">
        <f>IF(Table1[[#This Row],[Effective Child Tax Credit]]&gt;Table1[[#This Row],[Regular Taxes Owed]],Table1[[#This Row],[Additional Child Tax Credit ]]-Table1[[#This Row],[Regular Taxes Owed]],0)</f>
        <v>0</v>
      </c>
      <c r="Q3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3" s="1">
        <f>Table1[[#This Row],[Effective Additional Child Tax Credit]]+Table1[[#This Row],[Eitc]]</f>
        <v>0</v>
      </c>
      <c r="S343" s="9">
        <f>Table1[[#This Row],[Regular Taxes Owed - Effective Child Tax Credit]]-Table1[[#This Row],[Total Credits]]</f>
        <v>16705</v>
      </c>
      <c r="T343" s="9">
        <f>Table1[[#This Row],[taxable wages]]+interest+dividends+short_term_capital_gains+long_term_capital_gains-(charitable_donations+mortgage_interest)</f>
        <v>153000</v>
      </c>
      <c r="U343" s="9">
        <f>MAX(amt_exemption-amt_exemption_phase_out_rate*MAX(Table1[[#This Row],[taxable wages]]-amt_phase_out_begins,0),0)</f>
        <v>83800</v>
      </c>
      <c r="V3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17992</v>
      </c>
      <c r="W343" s="1">
        <f>IF(AND(Table1[[#This Row],[AMT Taxes]]&gt;Table1[[#This Row],[Regular Taxes Owed]],Table1[[#This Row],[AMT Taxes]]&gt;0),Table1[[#This Row],[AMT Taxes]]-Table1[[#This Row],[Regular Taxes Owed]],0)</f>
        <v>0</v>
      </c>
      <c r="X343" s="9">
        <f>Table1[[#This Row],[Extra Taxes From Amt]]+Table1[[#This Row],[Federal Taxes Owed (No AMT)]]</f>
        <v>16705</v>
      </c>
      <c r="Y343" s="9">
        <f>IF(Table1[[#This Row],[taxable wages]]&gt;obamacare_surcharge_amount,obamacare_surcharge_percent*(Table1[[#This Row],[taxable wages]]-obamacare_surcharge_amount),0)</f>
        <v>0</v>
      </c>
      <c r="Z343" s="9">
        <f>Table1[[#This Row],[Federal Taxes Owed (Includes AMT)]]+Table1[[#This Row],[Obamacare surcharge premium]]</f>
        <v>16705</v>
      </c>
      <c r="AA343" s="9">
        <f>Table1[[#This Row],[taxable wages]]-Table1[[#This Row],[Federal Taxes Owed2]]</f>
        <v>136295</v>
      </c>
      <c r="AB343" s="51">
        <f t="shared" si="31"/>
        <v>0.3</v>
      </c>
      <c r="AC343" s="41"/>
      <c r="AD343" s="13"/>
      <c r="AE343" s="13"/>
    </row>
    <row r="344" spans="2:31" x14ac:dyDescent="0.3">
      <c r="B344" s="41">
        <f t="shared" si="32"/>
        <v>153500</v>
      </c>
      <c r="C344" s="1">
        <f>Table1[[#This Row],[taxable wages]]</f>
        <v>153500</v>
      </c>
      <c r="D344" s="1">
        <f>Table1[[#This Row],[taxable wages]]+interest+dividends+short_term_capital_gains+long_term_capital_gains</f>
        <v>153500</v>
      </c>
      <c r="E344" s="1">
        <f>MAX(Table1[[#This Row],[earned income for EITC]:[Agi For Eitc Calc]])</f>
        <v>153500</v>
      </c>
      <c r="F344" s="1">
        <f>Table1[[#This Row],[taxable wages]]+interest+dividends+short_term_capital_gains+long_term_capital_gains-(trad_ira_contributions+MIN(student_loan_interest_cap,student_loan_interest))</f>
        <v>153500</v>
      </c>
      <c r="G344" s="1">
        <f t="shared" si="28"/>
        <v>12600</v>
      </c>
      <c r="H344" s="1">
        <f t="shared" si="29"/>
        <v>28350</v>
      </c>
      <c r="I344" s="1">
        <f>MAX(0,Table1[[#This Row],[Agi]]-Table1[[#This Row],[Exemptions]]-Table1[[#This Row],[Effective Deductions]])</f>
        <v>112550</v>
      </c>
      <c r="J3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19680</v>
      </c>
      <c r="K344" s="1">
        <f t="shared" si="30"/>
        <v>5000</v>
      </c>
      <c r="L344" s="1">
        <f>IF(Table1[[#This Row],[Agi]]&gt;ctc_phase_out_begins,ctc_phase_out_rate*(Table1[[#This Row],[Agi]]-ctc_phase_out_begins),0)</f>
        <v>2175</v>
      </c>
      <c r="M344" s="1">
        <f>MAX(Table1[[#This Row],[Child Tax Credit]]-Table1[[#This Row],[Child Tax Credit Phase Out]],0)</f>
        <v>2825</v>
      </c>
      <c r="N344" s="1">
        <f>MAX(Table1[[#This Row],[Regular Taxes Owed]]-Table1[[#This Row],[Effective Child Tax Credit]],0)</f>
        <v>16855</v>
      </c>
      <c r="O344" s="1">
        <f>MAX(MIN((Table1[[#This Row],[taxable wages]]-3000)*0.15,1000*num_kids_16_younger),0)</f>
        <v>5000</v>
      </c>
      <c r="P344" s="9">
        <f>IF(Table1[[#This Row],[Effective Child Tax Credit]]&gt;Table1[[#This Row],[Regular Taxes Owed]],Table1[[#This Row],[Additional Child Tax Credit ]]-Table1[[#This Row],[Regular Taxes Owed]],0)</f>
        <v>0</v>
      </c>
      <c r="Q3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4" s="1">
        <f>Table1[[#This Row],[Effective Additional Child Tax Credit]]+Table1[[#This Row],[Eitc]]</f>
        <v>0</v>
      </c>
      <c r="S344" s="9">
        <f>Table1[[#This Row],[Regular Taxes Owed - Effective Child Tax Credit]]-Table1[[#This Row],[Total Credits]]</f>
        <v>16855</v>
      </c>
      <c r="T344" s="9">
        <f>Table1[[#This Row],[taxable wages]]+interest+dividends+short_term_capital_gains+long_term_capital_gains-(charitable_donations+mortgage_interest)</f>
        <v>153500</v>
      </c>
      <c r="U344" s="9">
        <f>MAX(amt_exemption-amt_exemption_phase_out_rate*MAX(Table1[[#This Row],[taxable wages]]-amt_phase_out_begins,0),0)</f>
        <v>83800</v>
      </c>
      <c r="V3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18122</v>
      </c>
      <c r="W344" s="1">
        <f>IF(AND(Table1[[#This Row],[AMT Taxes]]&gt;Table1[[#This Row],[Regular Taxes Owed]],Table1[[#This Row],[AMT Taxes]]&gt;0),Table1[[#This Row],[AMT Taxes]]-Table1[[#This Row],[Regular Taxes Owed]],0)</f>
        <v>0</v>
      </c>
      <c r="X344" s="9">
        <f>Table1[[#This Row],[Extra Taxes From Amt]]+Table1[[#This Row],[Federal Taxes Owed (No AMT)]]</f>
        <v>16855</v>
      </c>
      <c r="Y344" s="9">
        <f>IF(Table1[[#This Row],[taxable wages]]&gt;obamacare_surcharge_amount,obamacare_surcharge_percent*(Table1[[#This Row],[taxable wages]]-obamacare_surcharge_amount),0)</f>
        <v>0</v>
      </c>
      <c r="Z344" s="9">
        <f>Table1[[#This Row],[Federal Taxes Owed (Includes AMT)]]+Table1[[#This Row],[Obamacare surcharge premium]]</f>
        <v>16855</v>
      </c>
      <c r="AA344" s="9">
        <f>Table1[[#This Row],[taxable wages]]-Table1[[#This Row],[Federal Taxes Owed2]]</f>
        <v>136645</v>
      </c>
      <c r="AB344" s="51">
        <f t="shared" si="31"/>
        <v>0.3</v>
      </c>
      <c r="AC344" s="41"/>
      <c r="AD344" s="13"/>
      <c r="AE344" s="13"/>
    </row>
    <row r="345" spans="2:31" x14ac:dyDescent="0.3">
      <c r="B345" s="41">
        <f t="shared" si="32"/>
        <v>154000</v>
      </c>
      <c r="C345" s="1">
        <f>Table1[[#This Row],[taxable wages]]</f>
        <v>154000</v>
      </c>
      <c r="D345" s="1">
        <f>Table1[[#This Row],[taxable wages]]+interest+dividends+short_term_capital_gains+long_term_capital_gains</f>
        <v>154000</v>
      </c>
      <c r="E345" s="1">
        <f>MAX(Table1[[#This Row],[earned income for EITC]:[Agi For Eitc Calc]])</f>
        <v>154000</v>
      </c>
      <c r="F345" s="1">
        <f>Table1[[#This Row],[taxable wages]]+interest+dividends+short_term_capital_gains+long_term_capital_gains-(trad_ira_contributions+MIN(student_loan_interest_cap,student_loan_interest))</f>
        <v>154000</v>
      </c>
      <c r="G345" s="1">
        <f t="shared" si="28"/>
        <v>12600</v>
      </c>
      <c r="H345" s="1">
        <f t="shared" si="29"/>
        <v>28350</v>
      </c>
      <c r="I345" s="1">
        <f>MAX(0,Table1[[#This Row],[Agi]]-Table1[[#This Row],[Exemptions]]-Table1[[#This Row],[Effective Deductions]])</f>
        <v>113050</v>
      </c>
      <c r="J3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19805</v>
      </c>
      <c r="K345" s="1">
        <f t="shared" si="30"/>
        <v>5000</v>
      </c>
      <c r="L345" s="1">
        <f>IF(Table1[[#This Row],[Agi]]&gt;ctc_phase_out_begins,ctc_phase_out_rate*(Table1[[#This Row],[Agi]]-ctc_phase_out_begins),0)</f>
        <v>2200</v>
      </c>
      <c r="M345" s="1">
        <f>MAX(Table1[[#This Row],[Child Tax Credit]]-Table1[[#This Row],[Child Tax Credit Phase Out]],0)</f>
        <v>2800</v>
      </c>
      <c r="N345" s="1">
        <f>MAX(Table1[[#This Row],[Regular Taxes Owed]]-Table1[[#This Row],[Effective Child Tax Credit]],0)</f>
        <v>17005</v>
      </c>
      <c r="O345" s="1">
        <f>MAX(MIN((Table1[[#This Row],[taxable wages]]-3000)*0.15,1000*num_kids_16_younger),0)</f>
        <v>5000</v>
      </c>
      <c r="P345" s="9">
        <f>IF(Table1[[#This Row],[Effective Child Tax Credit]]&gt;Table1[[#This Row],[Regular Taxes Owed]],Table1[[#This Row],[Additional Child Tax Credit ]]-Table1[[#This Row],[Regular Taxes Owed]],0)</f>
        <v>0</v>
      </c>
      <c r="Q3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5" s="1">
        <f>Table1[[#This Row],[Effective Additional Child Tax Credit]]+Table1[[#This Row],[Eitc]]</f>
        <v>0</v>
      </c>
      <c r="S345" s="9">
        <f>Table1[[#This Row],[Regular Taxes Owed - Effective Child Tax Credit]]-Table1[[#This Row],[Total Credits]]</f>
        <v>17005</v>
      </c>
      <c r="T345" s="9">
        <f>Table1[[#This Row],[taxable wages]]+interest+dividends+short_term_capital_gains+long_term_capital_gains-(charitable_donations+mortgage_interest)</f>
        <v>154000</v>
      </c>
      <c r="U345" s="9">
        <f>MAX(amt_exemption-amt_exemption_phase_out_rate*MAX(Table1[[#This Row],[taxable wages]]-amt_phase_out_begins,0),0)</f>
        <v>83800</v>
      </c>
      <c r="V3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18252</v>
      </c>
      <c r="W345" s="1">
        <f>IF(AND(Table1[[#This Row],[AMT Taxes]]&gt;Table1[[#This Row],[Regular Taxes Owed]],Table1[[#This Row],[AMT Taxes]]&gt;0),Table1[[#This Row],[AMT Taxes]]-Table1[[#This Row],[Regular Taxes Owed]],0)</f>
        <v>0</v>
      </c>
      <c r="X345" s="9">
        <f>Table1[[#This Row],[Extra Taxes From Amt]]+Table1[[#This Row],[Federal Taxes Owed (No AMT)]]</f>
        <v>17005</v>
      </c>
      <c r="Y345" s="9">
        <f>IF(Table1[[#This Row],[taxable wages]]&gt;obamacare_surcharge_amount,obamacare_surcharge_percent*(Table1[[#This Row],[taxable wages]]-obamacare_surcharge_amount),0)</f>
        <v>0</v>
      </c>
      <c r="Z345" s="9">
        <f>Table1[[#This Row],[Federal Taxes Owed (Includes AMT)]]+Table1[[#This Row],[Obamacare surcharge premium]]</f>
        <v>17005</v>
      </c>
      <c r="AA345" s="9">
        <f>Table1[[#This Row],[taxable wages]]-Table1[[#This Row],[Federal Taxes Owed2]]</f>
        <v>136995</v>
      </c>
      <c r="AB345" s="51">
        <f t="shared" si="31"/>
        <v>0.3</v>
      </c>
      <c r="AC345" s="41"/>
      <c r="AD345" s="13"/>
      <c r="AE345" s="13"/>
    </row>
    <row r="346" spans="2:31" x14ac:dyDescent="0.3">
      <c r="B346" s="41">
        <f t="shared" si="32"/>
        <v>154500</v>
      </c>
      <c r="C346" s="1">
        <f>Table1[[#This Row],[taxable wages]]</f>
        <v>154500</v>
      </c>
      <c r="D346" s="1">
        <f>Table1[[#This Row],[taxable wages]]+interest+dividends+short_term_capital_gains+long_term_capital_gains</f>
        <v>154500</v>
      </c>
      <c r="E346" s="1">
        <f>MAX(Table1[[#This Row],[earned income for EITC]:[Agi For Eitc Calc]])</f>
        <v>154500</v>
      </c>
      <c r="F346" s="1">
        <f>Table1[[#This Row],[taxable wages]]+interest+dividends+short_term_capital_gains+long_term_capital_gains-(trad_ira_contributions+MIN(student_loan_interest_cap,student_loan_interest))</f>
        <v>154500</v>
      </c>
      <c r="G346" s="1">
        <f t="shared" si="28"/>
        <v>12600</v>
      </c>
      <c r="H346" s="1">
        <f t="shared" si="29"/>
        <v>28350</v>
      </c>
      <c r="I346" s="1">
        <f>MAX(0,Table1[[#This Row],[Agi]]-Table1[[#This Row],[Exemptions]]-Table1[[#This Row],[Effective Deductions]])</f>
        <v>113550</v>
      </c>
      <c r="J3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19930</v>
      </c>
      <c r="K346" s="1">
        <f t="shared" si="30"/>
        <v>5000</v>
      </c>
      <c r="L346" s="1">
        <f>IF(Table1[[#This Row],[Agi]]&gt;ctc_phase_out_begins,ctc_phase_out_rate*(Table1[[#This Row],[Agi]]-ctc_phase_out_begins),0)</f>
        <v>2225</v>
      </c>
      <c r="M346" s="1">
        <f>MAX(Table1[[#This Row],[Child Tax Credit]]-Table1[[#This Row],[Child Tax Credit Phase Out]],0)</f>
        <v>2775</v>
      </c>
      <c r="N346" s="1">
        <f>MAX(Table1[[#This Row],[Regular Taxes Owed]]-Table1[[#This Row],[Effective Child Tax Credit]],0)</f>
        <v>17155</v>
      </c>
      <c r="O346" s="1">
        <f>MAX(MIN((Table1[[#This Row],[taxable wages]]-3000)*0.15,1000*num_kids_16_younger),0)</f>
        <v>5000</v>
      </c>
      <c r="P346" s="9">
        <f>IF(Table1[[#This Row],[Effective Child Tax Credit]]&gt;Table1[[#This Row],[Regular Taxes Owed]],Table1[[#This Row],[Additional Child Tax Credit ]]-Table1[[#This Row],[Regular Taxes Owed]],0)</f>
        <v>0</v>
      </c>
      <c r="Q3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6" s="1">
        <f>Table1[[#This Row],[Effective Additional Child Tax Credit]]+Table1[[#This Row],[Eitc]]</f>
        <v>0</v>
      </c>
      <c r="S346" s="9">
        <f>Table1[[#This Row],[Regular Taxes Owed - Effective Child Tax Credit]]-Table1[[#This Row],[Total Credits]]</f>
        <v>17155</v>
      </c>
      <c r="T346" s="9">
        <f>Table1[[#This Row],[taxable wages]]+interest+dividends+short_term_capital_gains+long_term_capital_gains-(charitable_donations+mortgage_interest)</f>
        <v>154500</v>
      </c>
      <c r="U346" s="9">
        <f>MAX(amt_exemption-amt_exemption_phase_out_rate*MAX(Table1[[#This Row],[taxable wages]]-amt_phase_out_begins,0),0)</f>
        <v>83800</v>
      </c>
      <c r="V3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18382</v>
      </c>
      <c r="W346" s="1">
        <f>IF(AND(Table1[[#This Row],[AMT Taxes]]&gt;Table1[[#This Row],[Regular Taxes Owed]],Table1[[#This Row],[AMT Taxes]]&gt;0),Table1[[#This Row],[AMT Taxes]]-Table1[[#This Row],[Regular Taxes Owed]],0)</f>
        <v>0</v>
      </c>
      <c r="X346" s="9">
        <f>Table1[[#This Row],[Extra Taxes From Amt]]+Table1[[#This Row],[Federal Taxes Owed (No AMT)]]</f>
        <v>17155</v>
      </c>
      <c r="Y346" s="9">
        <f>IF(Table1[[#This Row],[taxable wages]]&gt;obamacare_surcharge_amount,obamacare_surcharge_percent*(Table1[[#This Row],[taxable wages]]-obamacare_surcharge_amount),0)</f>
        <v>0</v>
      </c>
      <c r="Z346" s="9">
        <f>Table1[[#This Row],[Federal Taxes Owed (Includes AMT)]]+Table1[[#This Row],[Obamacare surcharge premium]]</f>
        <v>17155</v>
      </c>
      <c r="AA346" s="9">
        <f>Table1[[#This Row],[taxable wages]]-Table1[[#This Row],[Federal Taxes Owed2]]</f>
        <v>137345</v>
      </c>
      <c r="AB346" s="51">
        <f t="shared" si="31"/>
        <v>0.3</v>
      </c>
      <c r="AC346" s="41"/>
      <c r="AD346" s="13"/>
      <c r="AE346" s="13"/>
    </row>
    <row r="347" spans="2:31" x14ac:dyDescent="0.3">
      <c r="B347" s="41">
        <f t="shared" si="32"/>
        <v>155000</v>
      </c>
      <c r="C347" s="1">
        <f>Table1[[#This Row],[taxable wages]]</f>
        <v>155000</v>
      </c>
      <c r="D347" s="1">
        <f>Table1[[#This Row],[taxable wages]]+interest+dividends+short_term_capital_gains+long_term_capital_gains</f>
        <v>155000</v>
      </c>
      <c r="E347" s="1">
        <f>MAX(Table1[[#This Row],[earned income for EITC]:[Agi For Eitc Calc]])</f>
        <v>155000</v>
      </c>
      <c r="F347" s="1">
        <f>Table1[[#This Row],[taxable wages]]+interest+dividends+short_term_capital_gains+long_term_capital_gains-(trad_ira_contributions+MIN(student_loan_interest_cap,student_loan_interest))</f>
        <v>155000</v>
      </c>
      <c r="G347" s="1">
        <f t="shared" si="28"/>
        <v>12600</v>
      </c>
      <c r="H347" s="1">
        <f t="shared" si="29"/>
        <v>28350</v>
      </c>
      <c r="I347" s="1">
        <f>MAX(0,Table1[[#This Row],[Agi]]-Table1[[#This Row],[Exemptions]]-Table1[[#This Row],[Effective Deductions]])</f>
        <v>114050</v>
      </c>
      <c r="J3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20055</v>
      </c>
      <c r="K347" s="1">
        <f t="shared" si="30"/>
        <v>5000</v>
      </c>
      <c r="L347" s="1">
        <f>IF(Table1[[#This Row],[Agi]]&gt;ctc_phase_out_begins,ctc_phase_out_rate*(Table1[[#This Row],[Agi]]-ctc_phase_out_begins),0)</f>
        <v>2250</v>
      </c>
      <c r="M347" s="1">
        <f>MAX(Table1[[#This Row],[Child Tax Credit]]-Table1[[#This Row],[Child Tax Credit Phase Out]],0)</f>
        <v>2750</v>
      </c>
      <c r="N347" s="1">
        <f>MAX(Table1[[#This Row],[Regular Taxes Owed]]-Table1[[#This Row],[Effective Child Tax Credit]],0)</f>
        <v>17305</v>
      </c>
      <c r="O347" s="1">
        <f>MAX(MIN((Table1[[#This Row],[taxable wages]]-3000)*0.15,1000*num_kids_16_younger),0)</f>
        <v>5000</v>
      </c>
      <c r="P347" s="9">
        <f>IF(Table1[[#This Row],[Effective Child Tax Credit]]&gt;Table1[[#This Row],[Regular Taxes Owed]],Table1[[#This Row],[Additional Child Tax Credit ]]-Table1[[#This Row],[Regular Taxes Owed]],0)</f>
        <v>0</v>
      </c>
      <c r="Q3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7" s="1">
        <f>Table1[[#This Row],[Effective Additional Child Tax Credit]]+Table1[[#This Row],[Eitc]]</f>
        <v>0</v>
      </c>
      <c r="S347" s="9">
        <f>Table1[[#This Row],[Regular Taxes Owed - Effective Child Tax Credit]]-Table1[[#This Row],[Total Credits]]</f>
        <v>17305</v>
      </c>
      <c r="T347" s="9">
        <f>Table1[[#This Row],[taxable wages]]+interest+dividends+short_term_capital_gains+long_term_capital_gains-(charitable_donations+mortgage_interest)</f>
        <v>155000</v>
      </c>
      <c r="U347" s="9">
        <f>MAX(amt_exemption-amt_exemption_phase_out_rate*MAX(Table1[[#This Row],[taxable wages]]-amt_phase_out_begins,0),0)</f>
        <v>83800</v>
      </c>
      <c r="V3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18512</v>
      </c>
      <c r="W347" s="1">
        <f>IF(AND(Table1[[#This Row],[AMT Taxes]]&gt;Table1[[#This Row],[Regular Taxes Owed]],Table1[[#This Row],[AMT Taxes]]&gt;0),Table1[[#This Row],[AMT Taxes]]-Table1[[#This Row],[Regular Taxes Owed]],0)</f>
        <v>0</v>
      </c>
      <c r="X347" s="9">
        <f>Table1[[#This Row],[Extra Taxes From Amt]]+Table1[[#This Row],[Federal Taxes Owed (No AMT)]]</f>
        <v>17305</v>
      </c>
      <c r="Y347" s="9">
        <f>IF(Table1[[#This Row],[taxable wages]]&gt;obamacare_surcharge_amount,obamacare_surcharge_percent*(Table1[[#This Row],[taxable wages]]-obamacare_surcharge_amount),0)</f>
        <v>0</v>
      </c>
      <c r="Z347" s="9">
        <f>Table1[[#This Row],[Federal Taxes Owed (Includes AMT)]]+Table1[[#This Row],[Obamacare surcharge premium]]</f>
        <v>17305</v>
      </c>
      <c r="AA347" s="9">
        <f>Table1[[#This Row],[taxable wages]]-Table1[[#This Row],[Federal Taxes Owed2]]</f>
        <v>137695</v>
      </c>
      <c r="AB347" s="51">
        <f t="shared" si="31"/>
        <v>0.3</v>
      </c>
      <c r="AC347" s="41"/>
      <c r="AD347" s="13"/>
      <c r="AE347" s="13"/>
    </row>
    <row r="348" spans="2:31" x14ac:dyDescent="0.3">
      <c r="B348" s="41">
        <f t="shared" si="32"/>
        <v>155500</v>
      </c>
      <c r="C348" s="1">
        <f>Table1[[#This Row],[taxable wages]]</f>
        <v>155500</v>
      </c>
      <c r="D348" s="1">
        <f>Table1[[#This Row],[taxable wages]]+interest+dividends+short_term_capital_gains+long_term_capital_gains</f>
        <v>155500</v>
      </c>
      <c r="E348" s="1">
        <f>MAX(Table1[[#This Row],[earned income for EITC]:[Agi For Eitc Calc]])</f>
        <v>155500</v>
      </c>
      <c r="F348" s="1">
        <f>Table1[[#This Row],[taxable wages]]+interest+dividends+short_term_capital_gains+long_term_capital_gains-(trad_ira_contributions+MIN(student_loan_interest_cap,student_loan_interest))</f>
        <v>155500</v>
      </c>
      <c r="G348" s="1">
        <f t="shared" si="28"/>
        <v>12600</v>
      </c>
      <c r="H348" s="1">
        <f t="shared" si="29"/>
        <v>28350</v>
      </c>
      <c r="I348" s="1">
        <f>MAX(0,Table1[[#This Row],[Agi]]-Table1[[#This Row],[Exemptions]]-Table1[[#This Row],[Effective Deductions]])</f>
        <v>114550</v>
      </c>
      <c r="J3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20180</v>
      </c>
      <c r="K348" s="1">
        <f t="shared" si="30"/>
        <v>5000</v>
      </c>
      <c r="L348" s="1">
        <f>IF(Table1[[#This Row],[Agi]]&gt;ctc_phase_out_begins,ctc_phase_out_rate*(Table1[[#This Row],[Agi]]-ctc_phase_out_begins),0)</f>
        <v>2275</v>
      </c>
      <c r="M348" s="1">
        <f>MAX(Table1[[#This Row],[Child Tax Credit]]-Table1[[#This Row],[Child Tax Credit Phase Out]],0)</f>
        <v>2725</v>
      </c>
      <c r="N348" s="1">
        <f>MAX(Table1[[#This Row],[Regular Taxes Owed]]-Table1[[#This Row],[Effective Child Tax Credit]],0)</f>
        <v>17455</v>
      </c>
      <c r="O348" s="1">
        <f>MAX(MIN((Table1[[#This Row],[taxable wages]]-3000)*0.15,1000*num_kids_16_younger),0)</f>
        <v>5000</v>
      </c>
      <c r="P348" s="9">
        <f>IF(Table1[[#This Row],[Effective Child Tax Credit]]&gt;Table1[[#This Row],[Regular Taxes Owed]],Table1[[#This Row],[Additional Child Tax Credit ]]-Table1[[#This Row],[Regular Taxes Owed]],0)</f>
        <v>0</v>
      </c>
      <c r="Q3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8" s="1">
        <f>Table1[[#This Row],[Effective Additional Child Tax Credit]]+Table1[[#This Row],[Eitc]]</f>
        <v>0</v>
      </c>
      <c r="S348" s="9">
        <f>Table1[[#This Row],[Regular Taxes Owed - Effective Child Tax Credit]]-Table1[[#This Row],[Total Credits]]</f>
        <v>17455</v>
      </c>
      <c r="T348" s="9">
        <f>Table1[[#This Row],[taxable wages]]+interest+dividends+short_term_capital_gains+long_term_capital_gains-(charitable_donations+mortgage_interest)</f>
        <v>155500</v>
      </c>
      <c r="U348" s="9">
        <f>MAX(amt_exemption-amt_exemption_phase_out_rate*MAX(Table1[[#This Row],[taxable wages]]-amt_phase_out_begins,0),0)</f>
        <v>83800</v>
      </c>
      <c r="V3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18642</v>
      </c>
      <c r="W348" s="1">
        <f>IF(AND(Table1[[#This Row],[AMT Taxes]]&gt;Table1[[#This Row],[Regular Taxes Owed]],Table1[[#This Row],[AMT Taxes]]&gt;0),Table1[[#This Row],[AMT Taxes]]-Table1[[#This Row],[Regular Taxes Owed]],0)</f>
        <v>0</v>
      </c>
      <c r="X348" s="9">
        <f>Table1[[#This Row],[Extra Taxes From Amt]]+Table1[[#This Row],[Federal Taxes Owed (No AMT)]]</f>
        <v>17455</v>
      </c>
      <c r="Y348" s="9">
        <f>IF(Table1[[#This Row],[taxable wages]]&gt;obamacare_surcharge_amount,obamacare_surcharge_percent*(Table1[[#This Row],[taxable wages]]-obamacare_surcharge_amount),0)</f>
        <v>0</v>
      </c>
      <c r="Z348" s="9">
        <f>Table1[[#This Row],[Federal Taxes Owed (Includes AMT)]]+Table1[[#This Row],[Obamacare surcharge premium]]</f>
        <v>17455</v>
      </c>
      <c r="AA348" s="9">
        <f>Table1[[#This Row],[taxable wages]]-Table1[[#This Row],[Federal Taxes Owed2]]</f>
        <v>138045</v>
      </c>
      <c r="AB348" s="51">
        <f t="shared" si="31"/>
        <v>0.3</v>
      </c>
      <c r="AC348" s="41"/>
      <c r="AD348" s="13"/>
      <c r="AE348" s="13"/>
    </row>
    <row r="349" spans="2:31" x14ac:dyDescent="0.3">
      <c r="B349" s="41">
        <f t="shared" si="32"/>
        <v>156000</v>
      </c>
      <c r="C349" s="1">
        <f>Table1[[#This Row],[taxable wages]]</f>
        <v>156000</v>
      </c>
      <c r="D349" s="1">
        <f>Table1[[#This Row],[taxable wages]]+interest+dividends+short_term_capital_gains+long_term_capital_gains</f>
        <v>156000</v>
      </c>
      <c r="E349" s="1">
        <f>MAX(Table1[[#This Row],[earned income for EITC]:[Agi For Eitc Calc]])</f>
        <v>156000</v>
      </c>
      <c r="F349" s="1">
        <f>Table1[[#This Row],[taxable wages]]+interest+dividends+short_term_capital_gains+long_term_capital_gains-(trad_ira_contributions+MIN(student_loan_interest_cap,student_loan_interest))</f>
        <v>156000</v>
      </c>
      <c r="G349" s="1">
        <f t="shared" si="28"/>
        <v>12600</v>
      </c>
      <c r="H349" s="1">
        <f t="shared" si="29"/>
        <v>28350</v>
      </c>
      <c r="I349" s="1">
        <f>MAX(0,Table1[[#This Row],[Agi]]-Table1[[#This Row],[Exemptions]]-Table1[[#This Row],[Effective Deductions]])</f>
        <v>115050</v>
      </c>
      <c r="J3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20305</v>
      </c>
      <c r="K349" s="1">
        <f t="shared" si="30"/>
        <v>5000</v>
      </c>
      <c r="L349" s="1">
        <f>IF(Table1[[#This Row],[Agi]]&gt;ctc_phase_out_begins,ctc_phase_out_rate*(Table1[[#This Row],[Agi]]-ctc_phase_out_begins),0)</f>
        <v>2300</v>
      </c>
      <c r="M349" s="1">
        <f>MAX(Table1[[#This Row],[Child Tax Credit]]-Table1[[#This Row],[Child Tax Credit Phase Out]],0)</f>
        <v>2700</v>
      </c>
      <c r="N349" s="1">
        <f>MAX(Table1[[#This Row],[Regular Taxes Owed]]-Table1[[#This Row],[Effective Child Tax Credit]],0)</f>
        <v>17605</v>
      </c>
      <c r="O349" s="1">
        <f>MAX(MIN((Table1[[#This Row],[taxable wages]]-3000)*0.15,1000*num_kids_16_younger),0)</f>
        <v>5000</v>
      </c>
      <c r="P349" s="9">
        <f>IF(Table1[[#This Row],[Effective Child Tax Credit]]&gt;Table1[[#This Row],[Regular Taxes Owed]],Table1[[#This Row],[Additional Child Tax Credit ]]-Table1[[#This Row],[Regular Taxes Owed]],0)</f>
        <v>0</v>
      </c>
      <c r="Q3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49" s="1">
        <f>Table1[[#This Row],[Effective Additional Child Tax Credit]]+Table1[[#This Row],[Eitc]]</f>
        <v>0</v>
      </c>
      <c r="S349" s="9">
        <f>Table1[[#This Row],[Regular Taxes Owed - Effective Child Tax Credit]]-Table1[[#This Row],[Total Credits]]</f>
        <v>17605</v>
      </c>
      <c r="T349" s="9">
        <f>Table1[[#This Row],[taxable wages]]+interest+dividends+short_term_capital_gains+long_term_capital_gains-(charitable_donations+mortgage_interest)</f>
        <v>156000</v>
      </c>
      <c r="U349" s="9">
        <f>MAX(amt_exemption-amt_exemption_phase_out_rate*MAX(Table1[[#This Row],[taxable wages]]-amt_phase_out_begins,0),0)</f>
        <v>83800</v>
      </c>
      <c r="V3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18772</v>
      </c>
      <c r="W349" s="1">
        <f>IF(AND(Table1[[#This Row],[AMT Taxes]]&gt;Table1[[#This Row],[Regular Taxes Owed]],Table1[[#This Row],[AMT Taxes]]&gt;0),Table1[[#This Row],[AMT Taxes]]-Table1[[#This Row],[Regular Taxes Owed]],0)</f>
        <v>0</v>
      </c>
      <c r="X349" s="9">
        <f>Table1[[#This Row],[Extra Taxes From Amt]]+Table1[[#This Row],[Federal Taxes Owed (No AMT)]]</f>
        <v>17605</v>
      </c>
      <c r="Y349" s="9">
        <f>IF(Table1[[#This Row],[taxable wages]]&gt;obamacare_surcharge_amount,obamacare_surcharge_percent*(Table1[[#This Row],[taxable wages]]-obamacare_surcharge_amount),0)</f>
        <v>0</v>
      </c>
      <c r="Z349" s="9">
        <f>Table1[[#This Row],[Federal Taxes Owed (Includes AMT)]]+Table1[[#This Row],[Obamacare surcharge premium]]</f>
        <v>17605</v>
      </c>
      <c r="AA349" s="9">
        <f>Table1[[#This Row],[taxable wages]]-Table1[[#This Row],[Federal Taxes Owed2]]</f>
        <v>138395</v>
      </c>
      <c r="AB349" s="51">
        <f t="shared" si="31"/>
        <v>0.3</v>
      </c>
      <c r="AC349" s="41"/>
      <c r="AD349" s="13"/>
      <c r="AE349" s="13"/>
    </row>
    <row r="350" spans="2:31" x14ac:dyDescent="0.3">
      <c r="B350" s="41">
        <f t="shared" si="32"/>
        <v>156500</v>
      </c>
      <c r="C350" s="1">
        <f>Table1[[#This Row],[taxable wages]]</f>
        <v>156500</v>
      </c>
      <c r="D350" s="1">
        <f>Table1[[#This Row],[taxable wages]]+interest+dividends+short_term_capital_gains+long_term_capital_gains</f>
        <v>156500</v>
      </c>
      <c r="E350" s="1">
        <f>MAX(Table1[[#This Row],[earned income for EITC]:[Agi For Eitc Calc]])</f>
        <v>156500</v>
      </c>
      <c r="F350" s="1">
        <f>Table1[[#This Row],[taxable wages]]+interest+dividends+short_term_capital_gains+long_term_capital_gains-(trad_ira_contributions+MIN(student_loan_interest_cap,student_loan_interest))</f>
        <v>156500</v>
      </c>
      <c r="G350" s="1">
        <f t="shared" si="28"/>
        <v>12600</v>
      </c>
      <c r="H350" s="1">
        <f t="shared" si="29"/>
        <v>28350</v>
      </c>
      <c r="I350" s="1">
        <f>MAX(0,Table1[[#This Row],[Agi]]-Table1[[#This Row],[Exemptions]]-Table1[[#This Row],[Effective Deductions]])</f>
        <v>115550</v>
      </c>
      <c r="J3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20430</v>
      </c>
      <c r="K350" s="1">
        <f t="shared" si="30"/>
        <v>5000</v>
      </c>
      <c r="L350" s="1">
        <f>IF(Table1[[#This Row],[Agi]]&gt;ctc_phase_out_begins,ctc_phase_out_rate*(Table1[[#This Row],[Agi]]-ctc_phase_out_begins),0)</f>
        <v>2325</v>
      </c>
      <c r="M350" s="1">
        <f>MAX(Table1[[#This Row],[Child Tax Credit]]-Table1[[#This Row],[Child Tax Credit Phase Out]],0)</f>
        <v>2675</v>
      </c>
      <c r="N350" s="1">
        <f>MAX(Table1[[#This Row],[Regular Taxes Owed]]-Table1[[#This Row],[Effective Child Tax Credit]],0)</f>
        <v>17755</v>
      </c>
      <c r="O350" s="1">
        <f>MAX(MIN((Table1[[#This Row],[taxable wages]]-3000)*0.15,1000*num_kids_16_younger),0)</f>
        <v>5000</v>
      </c>
      <c r="P350" s="9">
        <f>IF(Table1[[#This Row],[Effective Child Tax Credit]]&gt;Table1[[#This Row],[Regular Taxes Owed]],Table1[[#This Row],[Additional Child Tax Credit ]]-Table1[[#This Row],[Regular Taxes Owed]],0)</f>
        <v>0</v>
      </c>
      <c r="Q3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0" s="1">
        <f>Table1[[#This Row],[Effective Additional Child Tax Credit]]+Table1[[#This Row],[Eitc]]</f>
        <v>0</v>
      </c>
      <c r="S350" s="9">
        <f>Table1[[#This Row],[Regular Taxes Owed - Effective Child Tax Credit]]-Table1[[#This Row],[Total Credits]]</f>
        <v>17755</v>
      </c>
      <c r="T350" s="9">
        <f>Table1[[#This Row],[taxable wages]]+interest+dividends+short_term_capital_gains+long_term_capital_gains-(charitable_donations+mortgage_interest)</f>
        <v>156500</v>
      </c>
      <c r="U350" s="9">
        <f>MAX(amt_exemption-amt_exemption_phase_out_rate*MAX(Table1[[#This Row],[taxable wages]]-amt_phase_out_begins,0),0)</f>
        <v>83800</v>
      </c>
      <c r="V3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18902</v>
      </c>
      <c r="W350" s="1">
        <f>IF(AND(Table1[[#This Row],[AMT Taxes]]&gt;Table1[[#This Row],[Regular Taxes Owed]],Table1[[#This Row],[AMT Taxes]]&gt;0),Table1[[#This Row],[AMT Taxes]]-Table1[[#This Row],[Regular Taxes Owed]],0)</f>
        <v>0</v>
      </c>
      <c r="X350" s="9">
        <f>Table1[[#This Row],[Extra Taxes From Amt]]+Table1[[#This Row],[Federal Taxes Owed (No AMT)]]</f>
        <v>17755</v>
      </c>
      <c r="Y350" s="9">
        <f>IF(Table1[[#This Row],[taxable wages]]&gt;obamacare_surcharge_amount,obamacare_surcharge_percent*(Table1[[#This Row],[taxable wages]]-obamacare_surcharge_amount),0)</f>
        <v>0</v>
      </c>
      <c r="Z350" s="9">
        <f>Table1[[#This Row],[Federal Taxes Owed (Includes AMT)]]+Table1[[#This Row],[Obamacare surcharge premium]]</f>
        <v>17755</v>
      </c>
      <c r="AA350" s="9">
        <f>Table1[[#This Row],[taxable wages]]-Table1[[#This Row],[Federal Taxes Owed2]]</f>
        <v>138745</v>
      </c>
      <c r="AB350" s="51">
        <f t="shared" si="31"/>
        <v>0.3</v>
      </c>
      <c r="AC350" s="41"/>
      <c r="AD350" s="13"/>
      <c r="AE350" s="13"/>
    </row>
    <row r="351" spans="2:31" x14ac:dyDescent="0.3">
      <c r="B351" s="41">
        <f t="shared" si="32"/>
        <v>157000</v>
      </c>
      <c r="C351" s="1">
        <f>Table1[[#This Row],[taxable wages]]</f>
        <v>157000</v>
      </c>
      <c r="D351" s="1">
        <f>Table1[[#This Row],[taxable wages]]+interest+dividends+short_term_capital_gains+long_term_capital_gains</f>
        <v>157000</v>
      </c>
      <c r="E351" s="1">
        <f>MAX(Table1[[#This Row],[earned income for EITC]:[Agi For Eitc Calc]])</f>
        <v>157000</v>
      </c>
      <c r="F351" s="1">
        <f>Table1[[#This Row],[taxable wages]]+interest+dividends+short_term_capital_gains+long_term_capital_gains-(trad_ira_contributions+MIN(student_loan_interest_cap,student_loan_interest))</f>
        <v>157000</v>
      </c>
      <c r="G351" s="1">
        <f t="shared" si="28"/>
        <v>12600</v>
      </c>
      <c r="H351" s="1">
        <f t="shared" si="29"/>
        <v>28350</v>
      </c>
      <c r="I351" s="1">
        <f>MAX(0,Table1[[#This Row],[Agi]]-Table1[[#This Row],[Exemptions]]-Table1[[#This Row],[Effective Deductions]])</f>
        <v>116050</v>
      </c>
      <c r="J3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20555</v>
      </c>
      <c r="K351" s="1">
        <f t="shared" si="30"/>
        <v>5000</v>
      </c>
      <c r="L351" s="1">
        <f>IF(Table1[[#This Row],[Agi]]&gt;ctc_phase_out_begins,ctc_phase_out_rate*(Table1[[#This Row],[Agi]]-ctc_phase_out_begins),0)</f>
        <v>2350</v>
      </c>
      <c r="M351" s="1">
        <f>MAX(Table1[[#This Row],[Child Tax Credit]]-Table1[[#This Row],[Child Tax Credit Phase Out]],0)</f>
        <v>2650</v>
      </c>
      <c r="N351" s="1">
        <f>MAX(Table1[[#This Row],[Regular Taxes Owed]]-Table1[[#This Row],[Effective Child Tax Credit]],0)</f>
        <v>17905</v>
      </c>
      <c r="O351" s="1">
        <f>MAX(MIN((Table1[[#This Row],[taxable wages]]-3000)*0.15,1000*num_kids_16_younger),0)</f>
        <v>5000</v>
      </c>
      <c r="P351" s="9">
        <f>IF(Table1[[#This Row],[Effective Child Tax Credit]]&gt;Table1[[#This Row],[Regular Taxes Owed]],Table1[[#This Row],[Additional Child Tax Credit ]]-Table1[[#This Row],[Regular Taxes Owed]],0)</f>
        <v>0</v>
      </c>
      <c r="Q3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1" s="1">
        <f>Table1[[#This Row],[Effective Additional Child Tax Credit]]+Table1[[#This Row],[Eitc]]</f>
        <v>0</v>
      </c>
      <c r="S351" s="9">
        <f>Table1[[#This Row],[Regular Taxes Owed - Effective Child Tax Credit]]-Table1[[#This Row],[Total Credits]]</f>
        <v>17905</v>
      </c>
      <c r="T351" s="9">
        <f>Table1[[#This Row],[taxable wages]]+interest+dividends+short_term_capital_gains+long_term_capital_gains-(charitable_donations+mortgage_interest)</f>
        <v>157000</v>
      </c>
      <c r="U351" s="9">
        <f>MAX(amt_exemption-amt_exemption_phase_out_rate*MAX(Table1[[#This Row],[taxable wages]]-amt_phase_out_begins,0),0)</f>
        <v>83800</v>
      </c>
      <c r="V3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19032</v>
      </c>
      <c r="W351" s="1">
        <f>IF(AND(Table1[[#This Row],[AMT Taxes]]&gt;Table1[[#This Row],[Regular Taxes Owed]],Table1[[#This Row],[AMT Taxes]]&gt;0),Table1[[#This Row],[AMT Taxes]]-Table1[[#This Row],[Regular Taxes Owed]],0)</f>
        <v>0</v>
      </c>
      <c r="X351" s="9">
        <f>Table1[[#This Row],[Extra Taxes From Amt]]+Table1[[#This Row],[Federal Taxes Owed (No AMT)]]</f>
        <v>17905</v>
      </c>
      <c r="Y351" s="9">
        <f>IF(Table1[[#This Row],[taxable wages]]&gt;obamacare_surcharge_amount,obamacare_surcharge_percent*(Table1[[#This Row],[taxable wages]]-obamacare_surcharge_amount),0)</f>
        <v>0</v>
      </c>
      <c r="Z351" s="9">
        <f>Table1[[#This Row],[Federal Taxes Owed (Includes AMT)]]+Table1[[#This Row],[Obamacare surcharge premium]]</f>
        <v>17905</v>
      </c>
      <c r="AA351" s="9">
        <f>Table1[[#This Row],[taxable wages]]-Table1[[#This Row],[Federal Taxes Owed2]]</f>
        <v>139095</v>
      </c>
      <c r="AB351" s="51">
        <f t="shared" si="31"/>
        <v>0.3</v>
      </c>
      <c r="AC351" s="41"/>
      <c r="AD351" s="13"/>
      <c r="AE351" s="13"/>
    </row>
    <row r="352" spans="2:31" x14ac:dyDescent="0.3">
      <c r="B352" s="41">
        <f t="shared" si="32"/>
        <v>157500</v>
      </c>
      <c r="C352" s="1">
        <f>Table1[[#This Row],[taxable wages]]</f>
        <v>157500</v>
      </c>
      <c r="D352" s="1">
        <f>Table1[[#This Row],[taxable wages]]+interest+dividends+short_term_capital_gains+long_term_capital_gains</f>
        <v>157500</v>
      </c>
      <c r="E352" s="1">
        <f>MAX(Table1[[#This Row],[earned income for EITC]:[Agi For Eitc Calc]])</f>
        <v>157500</v>
      </c>
      <c r="F352" s="1">
        <f>Table1[[#This Row],[taxable wages]]+interest+dividends+short_term_capital_gains+long_term_capital_gains-(trad_ira_contributions+MIN(student_loan_interest_cap,student_loan_interest))</f>
        <v>157500</v>
      </c>
      <c r="G352" s="1">
        <f t="shared" si="28"/>
        <v>12600</v>
      </c>
      <c r="H352" s="1">
        <f t="shared" si="29"/>
        <v>28350</v>
      </c>
      <c r="I352" s="1">
        <f>MAX(0,Table1[[#This Row],[Agi]]-Table1[[#This Row],[Exemptions]]-Table1[[#This Row],[Effective Deductions]])</f>
        <v>116550</v>
      </c>
      <c r="J3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20680</v>
      </c>
      <c r="K352" s="1">
        <f t="shared" si="30"/>
        <v>5000</v>
      </c>
      <c r="L352" s="1">
        <f>IF(Table1[[#This Row],[Agi]]&gt;ctc_phase_out_begins,ctc_phase_out_rate*(Table1[[#This Row],[Agi]]-ctc_phase_out_begins),0)</f>
        <v>2375</v>
      </c>
      <c r="M352" s="1">
        <f>MAX(Table1[[#This Row],[Child Tax Credit]]-Table1[[#This Row],[Child Tax Credit Phase Out]],0)</f>
        <v>2625</v>
      </c>
      <c r="N352" s="1">
        <f>MAX(Table1[[#This Row],[Regular Taxes Owed]]-Table1[[#This Row],[Effective Child Tax Credit]],0)</f>
        <v>18055</v>
      </c>
      <c r="O352" s="1">
        <f>MAX(MIN((Table1[[#This Row],[taxable wages]]-3000)*0.15,1000*num_kids_16_younger),0)</f>
        <v>5000</v>
      </c>
      <c r="P352" s="9">
        <f>IF(Table1[[#This Row],[Effective Child Tax Credit]]&gt;Table1[[#This Row],[Regular Taxes Owed]],Table1[[#This Row],[Additional Child Tax Credit ]]-Table1[[#This Row],[Regular Taxes Owed]],0)</f>
        <v>0</v>
      </c>
      <c r="Q3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2" s="1">
        <f>Table1[[#This Row],[Effective Additional Child Tax Credit]]+Table1[[#This Row],[Eitc]]</f>
        <v>0</v>
      </c>
      <c r="S352" s="9">
        <f>Table1[[#This Row],[Regular Taxes Owed - Effective Child Tax Credit]]-Table1[[#This Row],[Total Credits]]</f>
        <v>18055</v>
      </c>
      <c r="T352" s="9">
        <f>Table1[[#This Row],[taxable wages]]+interest+dividends+short_term_capital_gains+long_term_capital_gains-(charitable_donations+mortgage_interest)</f>
        <v>157500</v>
      </c>
      <c r="U352" s="9">
        <f>MAX(amt_exemption-amt_exemption_phase_out_rate*MAX(Table1[[#This Row],[taxable wages]]-amt_phase_out_begins,0),0)</f>
        <v>83800</v>
      </c>
      <c r="V3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19162</v>
      </c>
      <c r="W352" s="1">
        <f>IF(AND(Table1[[#This Row],[AMT Taxes]]&gt;Table1[[#This Row],[Regular Taxes Owed]],Table1[[#This Row],[AMT Taxes]]&gt;0),Table1[[#This Row],[AMT Taxes]]-Table1[[#This Row],[Regular Taxes Owed]],0)</f>
        <v>0</v>
      </c>
      <c r="X352" s="9">
        <f>Table1[[#This Row],[Extra Taxes From Amt]]+Table1[[#This Row],[Federal Taxes Owed (No AMT)]]</f>
        <v>18055</v>
      </c>
      <c r="Y352" s="9">
        <f>IF(Table1[[#This Row],[taxable wages]]&gt;obamacare_surcharge_amount,obamacare_surcharge_percent*(Table1[[#This Row],[taxable wages]]-obamacare_surcharge_amount),0)</f>
        <v>0</v>
      </c>
      <c r="Z352" s="9">
        <f>Table1[[#This Row],[Federal Taxes Owed (Includes AMT)]]+Table1[[#This Row],[Obamacare surcharge premium]]</f>
        <v>18055</v>
      </c>
      <c r="AA352" s="9">
        <f>Table1[[#This Row],[taxable wages]]-Table1[[#This Row],[Federal Taxes Owed2]]</f>
        <v>139445</v>
      </c>
      <c r="AB352" s="51">
        <f t="shared" si="31"/>
        <v>0.3</v>
      </c>
      <c r="AC352" s="41"/>
      <c r="AD352" s="13"/>
      <c r="AE352" s="13"/>
    </row>
    <row r="353" spans="2:31" x14ac:dyDescent="0.3">
      <c r="B353" s="41">
        <f t="shared" si="32"/>
        <v>158000</v>
      </c>
      <c r="C353" s="1">
        <f>Table1[[#This Row],[taxable wages]]</f>
        <v>158000</v>
      </c>
      <c r="D353" s="1">
        <f>Table1[[#This Row],[taxable wages]]+interest+dividends+short_term_capital_gains+long_term_capital_gains</f>
        <v>158000</v>
      </c>
      <c r="E353" s="1">
        <f>MAX(Table1[[#This Row],[earned income for EITC]:[Agi For Eitc Calc]])</f>
        <v>158000</v>
      </c>
      <c r="F353" s="1">
        <f>Table1[[#This Row],[taxable wages]]+interest+dividends+short_term_capital_gains+long_term_capital_gains-(trad_ira_contributions+MIN(student_loan_interest_cap,student_loan_interest))</f>
        <v>158000</v>
      </c>
      <c r="G353" s="1">
        <f t="shared" si="28"/>
        <v>12600</v>
      </c>
      <c r="H353" s="1">
        <f t="shared" si="29"/>
        <v>28350</v>
      </c>
      <c r="I353" s="1">
        <f>MAX(0,Table1[[#This Row],[Agi]]-Table1[[#This Row],[Exemptions]]-Table1[[#This Row],[Effective Deductions]])</f>
        <v>117050</v>
      </c>
      <c r="J3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20805</v>
      </c>
      <c r="K353" s="1">
        <f t="shared" si="30"/>
        <v>5000</v>
      </c>
      <c r="L353" s="1">
        <f>IF(Table1[[#This Row],[Agi]]&gt;ctc_phase_out_begins,ctc_phase_out_rate*(Table1[[#This Row],[Agi]]-ctc_phase_out_begins),0)</f>
        <v>2400</v>
      </c>
      <c r="M353" s="1">
        <f>MAX(Table1[[#This Row],[Child Tax Credit]]-Table1[[#This Row],[Child Tax Credit Phase Out]],0)</f>
        <v>2600</v>
      </c>
      <c r="N353" s="1">
        <f>MAX(Table1[[#This Row],[Regular Taxes Owed]]-Table1[[#This Row],[Effective Child Tax Credit]],0)</f>
        <v>18205</v>
      </c>
      <c r="O353" s="1">
        <f>MAX(MIN((Table1[[#This Row],[taxable wages]]-3000)*0.15,1000*num_kids_16_younger),0)</f>
        <v>5000</v>
      </c>
      <c r="P353" s="9">
        <f>IF(Table1[[#This Row],[Effective Child Tax Credit]]&gt;Table1[[#This Row],[Regular Taxes Owed]],Table1[[#This Row],[Additional Child Tax Credit ]]-Table1[[#This Row],[Regular Taxes Owed]],0)</f>
        <v>0</v>
      </c>
      <c r="Q3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3" s="1">
        <f>Table1[[#This Row],[Effective Additional Child Tax Credit]]+Table1[[#This Row],[Eitc]]</f>
        <v>0</v>
      </c>
      <c r="S353" s="9">
        <f>Table1[[#This Row],[Regular Taxes Owed - Effective Child Tax Credit]]-Table1[[#This Row],[Total Credits]]</f>
        <v>18205</v>
      </c>
      <c r="T353" s="9">
        <f>Table1[[#This Row],[taxable wages]]+interest+dividends+short_term_capital_gains+long_term_capital_gains-(charitable_donations+mortgage_interest)</f>
        <v>158000</v>
      </c>
      <c r="U353" s="9">
        <f>MAX(amt_exemption-amt_exemption_phase_out_rate*MAX(Table1[[#This Row],[taxable wages]]-amt_phase_out_begins,0),0)</f>
        <v>83800</v>
      </c>
      <c r="V3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19292</v>
      </c>
      <c r="W353" s="1">
        <f>IF(AND(Table1[[#This Row],[AMT Taxes]]&gt;Table1[[#This Row],[Regular Taxes Owed]],Table1[[#This Row],[AMT Taxes]]&gt;0),Table1[[#This Row],[AMT Taxes]]-Table1[[#This Row],[Regular Taxes Owed]],0)</f>
        <v>0</v>
      </c>
      <c r="X353" s="9">
        <f>Table1[[#This Row],[Extra Taxes From Amt]]+Table1[[#This Row],[Federal Taxes Owed (No AMT)]]</f>
        <v>18205</v>
      </c>
      <c r="Y353" s="9">
        <f>IF(Table1[[#This Row],[taxable wages]]&gt;obamacare_surcharge_amount,obamacare_surcharge_percent*(Table1[[#This Row],[taxable wages]]-obamacare_surcharge_amount),0)</f>
        <v>0</v>
      </c>
      <c r="Z353" s="9">
        <f>Table1[[#This Row],[Federal Taxes Owed (Includes AMT)]]+Table1[[#This Row],[Obamacare surcharge premium]]</f>
        <v>18205</v>
      </c>
      <c r="AA353" s="9">
        <f>Table1[[#This Row],[taxable wages]]-Table1[[#This Row],[Federal Taxes Owed2]]</f>
        <v>139795</v>
      </c>
      <c r="AB353" s="51">
        <f t="shared" si="31"/>
        <v>0.3</v>
      </c>
      <c r="AC353" s="41"/>
      <c r="AD353" s="13"/>
      <c r="AE353" s="13"/>
    </row>
    <row r="354" spans="2:31" x14ac:dyDescent="0.3">
      <c r="B354" s="41">
        <f t="shared" si="32"/>
        <v>158500</v>
      </c>
      <c r="C354" s="1">
        <f>Table1[[#This Row],[taxable wages]]</f>
        <v>158500</v>
      </c>
      <c r="D354" s="1">
        <f>Table1[[#This Row],[taxable wages]]+interest+dividends+short_term_capital_gains+long_term_capital_gains</f>
        <v>158500</v>
      </c>
      <c r="E354" s="1">
        <f>MAX(Table1[[#This Row],[earned income for EITC]:[Agi For Eitc Calc]])</f>
        <v>158500</v>
      </c>
      <c r="F354" s="1">
        <f>Table1[[#This Row],[taxable wages]]+interest+dividends+short_term_capital_gains+long_term_capital_gains-(trad_ira_contributions+MIN(student_loan_interest_cap,student_loan_interest))</f>
        <v>158500</v>
      </c>
      <c r="G354" s="1">
        <f t="shared" si="28"/>
        <v>12600</v>
      </c>
      <c r="H354" s="1">
        <f t="shared" si="29"/>
        <v>28350</v>
      </c>
      <c r="I354" s="1">
        <f>MAX(0,Table1[[#This Row],[Agi]]-Table1[[#This Row],[Exemptions]]-Table1[[#This Row],[Effective Deductions]])</f>
        <v>117550</v>
      </c>
      <c r="J3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20930</v>
      </c>
      <c r="K354" s="1">
        <f t="shared" si="30"/>
        <v>5000</v>
      </c>
      <c r="L354" s="1">
        <f>IF(Table1[[#This Row],[Agi]]&gt;ctc_phase_out_begins,ctc_phase_out_rate*(Table1[[#This Row],[Agi]]-ctc_phase_out_begins),0)</f>
        <v>2425</v>
      </c>
      <c r="M354" s="1">
        <f>MAX(Table1[[#This Row],[Child Tax Credit]]-Table1[[#This Row],[Child Tax Credit Phase Out]],0)</f>
        <v>2575</v>
      </c>
      <c r="N354" s="1">
        <f>MAX(Table1[[#This Row],[Regular Taxes Owed]]-Table1[[#This Row],[Effective Child Tax Credit]],0)</f>
        <v>18355</v>
      </c>
      <c r="O354" s="1">
        <f>MAX(MIN((Table1[[#This Row],[taxable wages]]-3000)*0.15,1000*num_kids_16_younger),0)</f>
        <v>5000</v>
      </c>
      <c r="P354" s="9">
        <f>IF(Table1[[#This Row],[Effective Child Tax Credit]]&gt;Table1[[#This Row],[Regular Taxes Owed]],Table1[[#This Row],[Additional Child Tax Credit ]]-Table1[[#This Row],[Regular Taxes Owed]],0)</f>
        <v>0</v>
      </c>
      <c r="Q3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4" s="1">
        <f>Table1[[#This Row],[Effective Additional Child Tax Credit]]+Table1[[#This Row],[Eitc]]</f>
        <v>0</v>
      </c>
      <c r="S354" s="9">
        <f>Table1[[#This Row],[Regular Taxes Owed - Effective Child Tax Credit]]-Table1[[#This Row],[Total Credits]]</f>
        <v>18355</v>
      </c>
      <c r="T354" s="9">
        <f>Table1[[#This Row],[taxable wages]]+interest+dividends+short_term_capital_gains+long_term_capital_gains-(charitable_donations+mortgage_interest)</f>
        <v>158500</v>
      </c>
      <c r="U354" s="9">
        <f>MAX(amt_exemption-amt_exemption_phase_out_rate*MAX(Table1[[#This Row],[taxable wages]]-amt_phase_out_begins,0),0)</f>
        <v>83800</v>
      </c>
      <c r="V3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19422</v>
      </c>
      <c r="W354" s="1">
        <f>IF(AND(Table1[[#This Row],[AMT Taxes]]&gt;Table1[[#This Row],[Regular Taxes Owed]],Table1[[#This Row],[AMT Taxes]]&gt;0),Table1[[#This Row],[AMT Taxes]]-Table1[[#This Row],[Regular Taxes Owed]],0)</f>
        <v>0</v>
      </c>
      <c r="X354" s="9">
        <f>Table1[[#This Row],[Extra Taxes From Amt]]+Table1[[#This Row],[Federal Taxes Owed (No AMT)]]</f>
        <v>18355</v>
      </c>
      <c r="Y354" s="9">
        <f>IF(Table1[[#This Row],[taxable wages]]&gt;obamacare_surcharge_amount,obamacare_surcharge_percent*(Table1[[#This Row],[taxable wages]]-obamacare_surcharge_amount),0)</f>
        <v>0</v>
      </c>
      <c r="Z354" s="9">
        <f>Table1[[#This Row],[Federal Taxes Owed (Includes AMT)]]+Table1[[#This Row],[Obamacare surcharge premium]]</f>
        <v>18355</v>
      </c>
      <c r="AA354" s="9">
        <f>Table1[[#This Row],[taxable wages]]-Table1[[#This Row],[Federal Taxes Owed2]]</f>
        <v>140145</v>
      </c>
      <c r="AB354" s="51">
        <f t="shared" si="31"/>
        <v>0.3</v>
      </c>
      <c r="AC354" s="41"/>
      <c r="AD354" s="13"/>
      <c r="AE354" s="13"/>
    </row>
    <row r="355" spans="2:31" x14ac:dyDescent="0.3">
      <c r="B355" s="41">
        <f t="shared" si="32"/>
        <v>159000</v>
      </c>
      <c r="C355" s="1">
        <f>Table1[[#This Row],[taxable wages]]</f>
        <v>159000</v>
      </c>
      <c r="D355" s="1">
        <f>Table1[[#This Row],[taxable wages]]+interest+dividends+short_term_capital_gains+long_term_capital_gains</f>
        <v>159000</v>
      </c>
      <c r="E355" s="1">
        <f>MAX(Table1[[#This Row],[earned income for EITC]:[Agi For Eitc Calc]])</f>
        <v>159000</v>
      </c>
      <c r="F355" s="1">
        <f>Table1[[#This Row],[taxable wages]]+interest+dividends+short_term_capital_gains+long_term_capital_gains-(trad_ira_contributions+MIN(student_loan_interest_cap,student_loan_interest))</f>
        <v>159000</v>
      </c>
      <c r="G355" s="1">
        <f t="shared" si="28"/>
        <v>12600</v>
      </c>
      <c r="H355" s="1">
        <f t="shared" si="29"/>
        <v>28350</v>
      </c>
      <c r="I355" s="1">
        <f>MAX(0,Table1[[#This Row],[Agi]]-Table1[[#This Row],[Exemptions]]-Table1[[#This Row],[Effective Deductions]])</f>
        <v>118050</v>
      </c>
      <c r="J3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21055</v>
      </c>
      <c r="K355" s="1">
        <f t="shared" si="30"/>
        <v>5000</v>
      </c>
      <c r="L355" s="1">
        <f>IF(Table1[[#This Row],[Agi]]&gt;ctc_phase_out_begins,ctc_phase_out_rate*(Table1[[#This Row],[Agi]]-ctc_phase_out_begins),0)</f>
        <v>2450</v>
      </c>
      <c r="M355" s="1">
        <f>MAX(Table1[[#This Row],[Child Tax Credit]]-Table1[[#This Row],[Child Tax Credit Phase Out]],0)</f>
        <v>2550</v>
      </c>
      <c r="N355" s="1">
        <f>MAX(Table1[[#This Row],[Regular Taxes Owed]]-Table1[[#This Row],[Effective Child Tax Credit]],0)</f>
        <v>18505</v>
      </c>
      <c r="O355" s="1">
        <f>MAX(MIN((Table1[[#This Row],[taxable wages]]-3000)*0.15,1000*num_kids_16_younger),0)</f>
        <v>5000</v>
      </c>
      <c r="P355" s="9">
        <f>IF(Table1[[#This Row],[Effective Child Tax Credit]]&gt;Table1[[#This Row],[Regular Taxes Owed]],Table1[[#This Row],[Additional Child Tax Credit ]]-Table1[[#This Row],[Regular Taxes Owed]],0)</f>
        <v>0</v>
      </c>
      <c r="Q3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5" s="1">
        <f>Table1[[#This Row],[Effective Additional Child Tax Credit]]+Table1[[#This Row],[Eitc]]</f>
        <v>0</v>
      </c>
      <c r="S355" s="9">
        <f>Table1[[#This Row],[Regular Taxes Owed - Effective Child Tax Credit]]-Table1[[#This Row],[Total Credits]]</f>
        <v>18505</v>
      </c>
      <c r="T355" s="9">
        <f>Table1[[#This Row],[taxable wages]]+interest+dividends+short_term_capital_gains+long_term_capital_gains-(charitable_donations+mortgage_interest)</f>
        <v>159000</v>
      </c>
      <c r="U355" s="9">
        <f>MAX(amt_exemption-amt_exemption_phase_out_rate*MAX(Table1[[#This Row],[taxable wages]]-amt_phase_out_begins,0),0)</f>
        <v>83800</v>
      </c>
      <c r="V3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19552</v>
      </c>
      <c r="W355" s="1">
        <f>IF(AND(Table1[[#This Row],[AMT Taxes]]&gt;Table1[[#This Row],[Regular Taxes Owed]],Table1[[#This Row],[AMT Taxes]]&gt;0),Table1[[#This Row],[AMT Taxes]]-Table1[[#This Row],[Regular Taxes Owed]],0)</f>
        <v>0</v>
      </c>
      <c r="X355" s="9">
        <f>Table1[[#This Row],[Extra Taxes From Amt]]+Table1[[#This Row],[Federal Taxes Owed (No AMT)]]</f>
        <v>18505</v>
      </c>
      <c r="Y355" s="9">
        <f>IF(Table1[[#This Row],[taxable wages]]&gt;obamacare_surcharge_amount,obamacare_surcharge_percent*(Table1[[#This Row],[taxable wages]]-obamacare_surcharge_amount),0)</f>
        <v>0</v>
      </c>
      <c r="Z355" s="9">
        <f>Table1[[#This Row],[Federal Taxes Owed (Includes AMT)]]+Table1[[#This Row],[Obamacare surcharge premium]]</f>
        <v>18505</v>
      </c>
      <c r="AA355" s="9">
        <f>Table1[[#This Row],[taxable wages]]-Table1[[#This Row],[Federal Taxes Owed2]]</f>
        <v>140495</v>
      </c>
      <c r="AB355" s="51">
        <f t="shared" si="31"/>
        <v>0.3</v>
      </c>
      <c r="AC355" s="41"/>
      <c r="AD355" s="13"/>
      <c r="AE355" s="13"/>
    </row>
    <row r="356" spans="2:31" x14ac:dyDescent="0.3">
      <c r="B356" s="41">
        <f t="shared" si="32"/>
        <v>159500</v>
      </c>
      <c r="C356" s="1">
        <f>Table1[[#This Row],[taxable wages]]</f>
        <v>159500</v>
      </c>
      <c r="D356" s="1">
        <f>Table1[[#This Row],[taxable wages]]+interest+dividends+short_term_capital_gains+long_term_capital_gains</f>
        <v>159500</v>
      </c>
      <c r="E356" s="1">
        <f>MAX(Table1[[#This Row],[earned income for EITC]:[Agi For Eitc Calc]])</f>
        <v>159500</v>
      </c>
      <c r="F356" s="1">
        <f>Table1[[#This Row],[taxable wages]]+interest+dividends+short_term_capital_gains+long_term_capital_gains-(trad_ira_contributions+MIN(student_loan_interest_cap,student_loan_interest))</f>
        <v>159500</v>
      </c>
      <c r="G356" s="1">
        <f t="shared" si="28"/>
        <v>12600</v>
      </c>
      <c r="H356" s="1">
        <f t="shared" si="29"/>
        <v>28350</v>
      </c>
      <c r="I356" s="1">
        <f>MAX(0,Table1[[#This Row],[Agi]]-Table1[[#This Row],[Exemptions]]-Table1[[#This Row],[Effective Deductions]])</f>
        <v>118550</v>
      </c>
      <c r="J3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21180</v>
      </c>
      <c r="K356" s="1">
        <f t="shared" si="30"/>
        <v>5000</v>
      </c>
      <c r="L356" s="1">
        <f>IF(Table1[[#This Row],[Agi]]&gt;ctc_phase_out_begins,ctc_phase_out_rate*(Table1[[#This Row],[Agi]]-ctc_phase_out_begins),0)</f>
        <v>2475</v>
      </c>
      <c r="M356" s="1">
        <f>MAX(Table1[[#This Row],[Child Tax Credit]]-Table1[[#This Row],[Child Tax Credit Phase Out]],0)</f>
        <v>2525</v>
      </c>
      <c r="N356" s="1">
        <f>MAX(Table1[[#This Row],[Regular Taxes Owed]]-Table1[[#This Row],[Effective Child Tax Credit]],0)</f>
        <v>18655</v>
      </c>
      <c r="O356" s="1">
        <f>MAX(MIN((Table1[[#This Row],[taxable wages]]-3000)*0.15,1000*num_kids_16_younger),0)</f>
        <v>5000</v>
      </c>
      <c r="P356" s="9">
        <f>IF(Table1[[#This Row],[Effective Child Tax Credit]]&gt;Table1[[#This Row],[Regular Taxes Owed]],Table1[[#This Row],[Additional Child Tax Credit ]]-Table1[[#This Row],[Regular Taxes Owed]],0)</f>
        <v>0</v>
      </c>
      <c r="Q3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6" s="1">
        <f>Table1[[#This Row],[Effective Additional Child Tax Credit]]+Table1[[#This Row],[Eitc]]</f>
        <v>0</v>
      </c>
      <c r="S356" s="9">
        <f>Table1[[#This Row],[Regular Taxes Owed - Effective Child Tax Credit]]-Table1[[#This Row],[Total Credits]]</f>
        <v>18655</v>
      </c>
      <c r="T356" s="9">
        <f>Table1[[#This Row],[taxable wages]]+interest+dividends+short_term_capital_gains+long_term_capital_gains-(charitable_donations+mortgage_interest)</f>
        <v>159500</v>
      </c>
      <c r="U356" s="9">
        <f>MAX(amt_exemption-amt_exemption_phase_out_rate*MAX(Table1[[#This Row],[taxable wages]]-amt_phase_out_begins,0),0)</f>
        <v>83800</v>
      </c>
      <c r="V3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19682</v>
      </c>
      <c r="W356" s="1">
        <f>IF(AND(Table1[[#This Row],[AMT Taxes]]&gt;Table1[[#This Row],[Regular Taxes Owed]],Table1[[#This Row],[AMT Taxes]]&gt;0),Table1[[#This Row],[AMT Taxes]]-Table1[[#This Row],[Regular Taxes Owed]],0)</f>
        <v>0</v>
      </c>
      <c r="X356" s="9">
        <f>Table1[[#This Row],[Extra Taxes From Amt]]+Table1[[#This Row],[Federal Taxes Owed (No AMT)]]</f>
        <v>18655</v>
      </c>
      <c r="Y356" s="9">
        <f>IF(Table1[[#This Row],[taxable wages]]&gt;obamacare_surcharge_amount,obamacare_surcharge_percent*(Table1[[#This Row],[taxable wages]]-obamacare_surcharge_amount),0)</f>
        <v>0</v>
      </c>
      <c r="Z356" s="9">
        <f>Table1[[#This Row],[Federal Taxes Owed (Includes AMT)]]+Table1[[#This Row],[Obamacare surcharge premium]]</f>
        <v>18655</v>
      </c>
      <c r="AA356" s="9">
        <f>Table1[[#This Row],[taxable wages]]-Table1[[#This Row],[Federal Taxes Owed2]]</f>
        <v>140845</v>
      </c>
      <c r="AB356" s="51">
        <f t="shared" si="31"/>
        <v>0.3</v>
      </c>
      <c r="AC356" s="41"/>
      <c r="AD356" s="13"/>
      <c r="AE356" s="13"/>
    </row>
    <row r="357" spans="2:31" x14ac:dyDescent="0.3">
      <c r="B357" s="41">
        <f t="shared" si="32"/>
        <v>160000</v>
      </c>
      <c r="C357" s="1">
        <f>Table1[[#This Row],[taxable wages]]</f>
        <v>160000</v>
      </c>
      <c r="D357" s="1">
        <f>Table1[[#This Row],[taxable wages]]+interest+dividends+short_term_capital_gains+long_term_capital_gains</f>
        <v>160000</v>
      </c>
      <c r="E357" s="1">
        <f>MAX(Table1[[#This Row],[earned income for EITC]:[Agi For Eitc Calc]])</f>
        <v>160000</v>
      </c>
      <c r="F357" s="1">
        <f>Table1[[#This Row],[taxable wages]]+interest+dividends+short_term_capital_gains+long_term_capital_gains-(trad_ira_contributions+MIN(student_loan_interest_cap,student_loan_interest))</f>
        <v>160000</v>
      </c>
      <c r="G357" s="1">
        <f t="shared" si="28"/>
        <v>12600</v>
      </c>
      <c r="H357" s="1">
        <f t="shared" si="29"/>
        <v>28350</v>
      </c>
      <c r="I357" s="1">
        <f>MAX(0,Table1[[#This Row],[Agi]]-Table1[[#This Row],[Exemptions]]-Table1[[#This Row],[Effective Deductions]])</f>
        <v>119050</v>
      </c>
      <c r="J3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21305</v>
      </c>
      <c r="K357" s="1">
        <f t="shared" si="30"/>
        <v>5000</v>
      </c>
      <c r="L357" s="1">
        <f>IF(Table1[[#This Row],[Agi]]&gt;ctc_phase_out_begins,ctc_phase_out_rate*(Table1[[#This Row],[Agi]]-ctc_phase_out_begins),0)</f>
        <v>2500</v>
      </c>
      <c r="M357" s="1">
        <f>MAX(Table1[[#This Row],[Child Tax Credit]]-Table1[[#This Row],[Child Tax Credit Phase Out]],0)</f>
        <v>2500</v>
      </c>
      <c r="N357" s="1">
        <f>MAX(Table1[[#This Row],[Regular Taxes Owed]]-Table1[[#This Row],[Effective Child Tax Credit]],0)</f>
        <v>18805</v>
      </c>
      <c r="O357" s="1">
        <f>MAX(MIN((Table1[[#This Row],[taxable wages]]-3000)*0.15,1000*num_kids_16_younger),0)</f>
        <v>5000</v>
      </c>
      <c r="P357" s="9">
        <f>IF(Table1[[#This Row],[Effective Child Tax Credit]]&gt;Table1[[#This Row],[Regular Taxes Owed]],Table1[[#This Row],[Additional Child Tax Credit ]]-Table1[[#This Row],[Regular Taxes Owed]],0)</f>
        <v>0</v>
      </c>
      <c r="Q3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7" s="1">
        <f>Table1[[#This Row],[Effective Additional Child Tax Credit]]+Table1[[#This Row],[Eitc]]</f>
        <v>0</v>
      </c>
      <c r="S357" s="9">
        <f>Table1[[#This Row],[Regular Taxes Owed - Effective Child Tax Credit]]-Table1[[#This Row],[Total Credits]]</f>
        <v>18805</v>
      </c>
      <c r="T357" s="9">
        <f>Table1[[#This Row],[taxable wages]]+interest+dividends+short_term_capital_gains+long_term_capital_gains-(charitable_donations+mortgage_interest)</f>
        <v>160000</v>
      </c>
      <c r="U357" s="9">
        <f>MAX(amt_exemption-amt_exemption_phase_out_rate*MAX(Table1[[#This Row],[taxable wages]]-amt_phase_out_begins,0),0)</f>
        <v>83725</v>
      </c>
      <c r="V3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19831.5</v>
      </c>
      <c r="W357" s="1">
        <f>IF(AND(Table1[[#This Row],[AMT Taxes]]&gt;Table1[[#This Row],[Regular Taxes Owed]],Table1[[#This Row],[AMT Taxes]]&gt;0),Table1[[#This Row],[AMT Taxes]]-Table1[[#This Row],[Regular Taxes Owed]],0)</f>
        <v>0</v>
      </c>
      <c r="X357" s="9">
        <f>Table1[[#This Row],[Extra Taxes From Amt]]+Table1[[#This Row],[Federal Taxes Owed (No AMT)]]</f>
        <v>18805</v>
      </c>
      <c r="Y357" s="9">
        <f>IF(Table1[[#This Row],[taxable wages]]&gt;obamacare_surcharge_amount,obamacare_surcharge_percent*(Table1[[#This Row],[taxable wages]]-obamacare_surcharge_amount),0)</f>
        <v>0</v>
      </c>
      <c r="Z357" s="9">
        <f>Table1[[#This Row],[Federal Taxes Owed (Includes AMT)]]+Table1[[#This Row],[Obamacare surcharge premium]]</f>
        <v>18805</v>
      </c>
      <c r="AA357" s="9">
        <f>Table1[[#This Row],[taxable wages]]-Table1[[#This Row],[Federal Taxes Owed2]]</f>
        <v>141195</v>
      </c>
      <c r="AB357" s="51">
        <f t="shared" si="31"/>
        <v>0.3</v>
      </c>
      <c r="AC357" s="41"/>
      <c r="AD357" s="13"/>
      <c r="AE357" s="13"/>
    </row>
    <row r="358" spans="2:31" x14ac:dyDescent="0.3">
      <c r="B358" s="41">
        <f t="shared" si="32"/>
        <v>160500</v>
      </c>
      <c r="C358" s="1">
        <f>Table1[[#This Row],[taxable wages]]</f>
        <v>160500</v>
      </c>
      <c r="D358" s="1">
        <f>Table1[[#This Row],[taxable wages]]+interest+dividends+short_term_capital_gains+long_term_capital_gains</f>
        <v>160500</v>
      </c>
      <c r="E358" s="1">
        <f>MAX(Table1[[#This Row],[earned income for EITC]:[Agi For Eitc Calc]])</f>
        <v>160500</v>
      </c>
      <c r="F358" s="1">
        <f>Table1[[#This Row],[taxable wages]]+interest+dividends+short_term_capital_gains+long_term_capital_gains-(trad_ira_contributions+MIN(student_loan_interest_cap,student_loan_interest))</f>
        <v>160500</v>
      </c>
      <c r="G358" s="1">
        <f t="shared" ref="G358:G421" si="33">MAX(standard_deduction,mortgage_interest+real_estate_property_taxes+state_income_tax_paid+charitable_donations+medical_expenses)</f>
        <v>12600</v>
      </c>
      <c r="H358" s="1">
        <f t="shared" ref="H358:H421" si="34">num_people_in_family*personal_exemption</f>
        <v>28350</v>
      </c>
      <c r="I358" s="1">
        <f>MAX(0,Table1[[#This Row],[Agi]]-Table1[[#This Row],[Exemptions]]-Table1[[#This Row],[Effective Deductions]])</f>
        <v>119550</v>
      </c>
      <c r="J3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21430</v>
      </c>
      <c r="K358" s="1">
        <f t="shared" ref="K358:K421" si="35">child_tax_credit*num_kids_16_younger</f>
        <v>5000</v>
      </c>
      <c r="L358" s="1">
        <f>IF(Table1[[#This Row],[Agi]]&gt;ctc_phase_out_begins,ctc_phase_out_rate*(Table1[[#This Row],[Agi]]-ctc_phase_out_begins),0)</f>
        <v>2525</v>
      </c>
      <c r="M358" s="1">
        <f>MAX(Table1[[#This Row],[Child Tax Credit]]-Table1[[#This Row],[Child Tax Credit Phase Out]],0)</f>
        <v>2475</v>
      </c>
      <c r="N358" s="1">
        <f>MAX(Table1[[#This Row],[Regular Taxes Owed]]-Table1[[#This Row],[Effective Child Tax Credit]],0)</f>
        <v>18955</v>
      </c>
      <c r="O358" s="1">
        <f>MAX(MIN((Table1[[#This Row],[taxable wages]]-3000)*0.15,1000*num_kids_16_younger),0)</f>
        <v>5000</v>
      </c>
      <c r="P358" s="9">
        <f>IF(Table1[[#This Row],[Effective Child Tax Credit]]&gt;Table1[[#This Row],[Regular Taxes Owed]],Table1[[#This Row],[Additional Child Tax Credit ]]-Table1[[#This Row],[Regular Taxes Owed]],0)</f>
        <v>0</v>
      </c>
      <c r="Q3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8" s="1">
        <f>Table1[[#This Row],[Effective Additional Child Tax Credit]]+Table1[[#This Row],[Eitc]]</f>
        <v>0</v>
      </c>
      <c r="S358" s="9">
        <f>Table1[[#This Row],[Regular Taxes Owed - Effective Child Tax Credit]]-Table1[[#This Row],[Total Credits]]</f>
        <v>18955</v>
      </c>
      <c r="T358" s="9">
        <f>Table1[[#This Row],[taxable wages]]+interest+dividends+short_term_capital_gains+long_term_capital_gains-(charitable_donations+mortgage_interest)</f>
        <v>160500</v>
      </c>
      <c r="U358" s="9">
        <f>MAX(amt_exemption-amt_exemption_phase_out_rate*MAX(Table1[[#This Row],[taxable wages]]-amt_phase_out_begins,0),0)</f>
        <v>83600</v>
      </c>
      <c r="V3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19994</v>
      </c>
      <c r="W358" s="1">
        <f>IF(AND(Table1[[#This Row],[AMT Taxes]]&gt;Table1[[#This Row],[Regular Taxes Owed]],Table1[[#This Row],[AMT Taxes]]&gt;0),Table1[[#This Row],[AMT Taxes]]-Table1[[#This Row],[Regular Taxes Owed]],0)</f>
        <v>0</v>
      </c>
      <c r="X358" s="9">
        <f>Table1[[#This Row],[Extra Taxes From Amt]]+Table1[[#This Row],[Federal Taxes Owed (No AMT)]]</f>
        <v>18955</v>
      </c>
      <c r="Y358" s="9">
        <f>IF(Table1[[#This Row],[taxable wages]]&gt;obamacare_surcharge_amount,obamacare_surcharge_percent*(Table1[[#This Row],[taxable wages]]-obamacare_surcharge_amount),0)</f>
        <v>0</v>
      </c>
      <c r="Z358" s="9">
        <f>Table1[[#This Row],[Federal Taxes Owed (Includes AMT)]]+Table1[[#This Row],[Obamacare surcharge premium]]</f>
        <v>18955</v>
      </c>
      <c r="AA358" s="9">
        <f>Table1[[#This Row],[taxable wages]]-Table1[[#This Row],[Federal Taxes Owed2]]</f>
        <v>141545</v>
      </c>
      <c r="AB358" s="51">
        <f t="shared" si="31"/>
        <v>0.3</v>
      </c>
      <c r="AC358" s="41"/>
      <c r="AD358" s="13"/>
      <c r="AE358" s="13"/>
    </row>
    <row r="359" spans="2:31" x14ac:dyDescent="0.3">
      <c r="B359" s="41">
        <f t="shared" si="32"/>
        <v>161000</v>
      </c>
      <c r="C359" s="1">
        <f>Table1[[#This Row],[taxable wages]]</f>
        <v>161000</v>
      </c>
      <c r="D359" s="1">
        <f>Table1[[#This Row],[taxable wages]]+interest+dividends+short_term_capital_gains+long_term_capital_gains</f>
        <v>161000</v>
      </c>
      <c r="E359" s="1">
        <f>MAX(Table1[[#This Row],[earned income for EITC]:[Agi For Eitc Calc]])</f>
        <v>161000</v>
      </c>
      <c r="F359" s="1">
        <f>Table1[[#This Row],[taxable wages]]+interest+dividends+short_term_capital_gains+long_term_capital_gains-(trad_ira_contributions+MIN(student_loan_interest_cap,student_loan_interest))</f>
        <v>161000</v>
      </c>
      <c r="G359" s="1">
        <f t="shared" si="33"/>
        <v>12600</v>
      </c>
      <c r="H359" s="1">
        <f t="shared" si="34"/>
        <v>28350</v>
      </c>
      <c r="I359" s="1">
        <f>MAX(0,Table1[[#This Row],[Agi]]-Table1[[#This Row],[Exemptions]]-Table1[[#This Row],[Effective Deductions]])</f>
        <v>120050</v>
      </c>
      <c r="J3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21555</v>
      </c>
      <c r="K359" s="1">
        <f t="shared" si="35"/>
        <v>5000</v>
      </c>
      <c r="L359" s="1">
        <f>IF(Table1[[#This Row],[Agi]]&gt;ctc_phase_out_begins,ctc_phase_out_rate*(Table1[[#This Row],[Agi]]-ctc_phase_out_begins),0)</f>
        <v>2550</v>
      </c>
      <c r="M359" s="1">
        <f>MAX(Table1[[#This Row],[Child Tax Credit]]-Table1[[#This Row],[Child Tax Credit Phase Out]],0)</f>
        <v>2450</v>
      </c>
      <c r="N359" s="1">
        <f>MAX(Table1[[#This Row],[Regular Taxes Owed]]-Table1[[#This Row],[Effective Child Tax Credit]],0)</f>
        <v>19105</v>
      </c>
      <c r="O359" s="1">
        <f>MAX(MIN((Table1[[#This Row],[taxable wages]]-3000)*0.15,1000*num_kids_16_younger),0)</f>
        <v>5000</v>
      </c>
      <c r="P359" s="9">
        <f>IF(Table1[[#This Row],[Effective Child Tax Credit]]&gt;Table1[[#This Row],[Regular Taxes Owed]],Table1[[#This Row],[Additional Child Tax Credit ]]-Table1[[#This Row],[Regular Taxes Owed]],0)</f>
        <v>0</v>
      </c>
      <c r="Q3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59" s="1">
        <f>Table1[[#This Row],[Effective Additional Child Tax Credit]]+Table1[[#This Row],[Eitc]]</f>
        <v>0</v>
      </c>
      <c r="S359" s="9">
        <f>Table1[[#This Row],[Regular Taxes Owed - Effective Child Tax Credit]]-Table1[[#This Row],[Total Credits]]</f>
        <v>19105</v>
      </c>
      <c r="T359" s="9">
        <f>Table1[[#This Row],[taxable wages]]+interest+dividends+short_term_capital_gains+long_term_capital_gains-(charitable_donations+mortgage_interest)</f>
        <v>161000</v>
      </c>
      <c r="U359" s="9">
        <f>MAX(amt_exemption-amt_exemption_phase_out_rate*MAX(Table1[[#This Row],[taxable wages]]-amt_phase_out_begins,0),0)</f>
        <v>83475</v>
      </c>
      <c r="V3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20156.5</v>
      </c>
      <c r="W359" s="1">
        <f>IF(AND(Table1[[#This Row],[AMT Taxes]]&gt;Table1[[#This Row],[Regular Taxes Owed]],Table1[[#This Row],[AMT Taxes]]&gt;0),Table1[[#This Row],[AMT Taxes]]-Table1[[#This Row],[Regular Taxes Owed]],0)</f>
        <v>0</v>
      </c>
      <c r="X359" s="9">
        <f>Table1[[#This Row],[Extra Taxes From Amt]]+Table1[[#This Row],[Federal Taxes Owed (No AMT)]]</f>
        <v>19105</v>
      </c>
      <c r="Y359" s="9">
        <f>IF(Table1[[#This Row],[taxable wages]]&gt;obamacare_surcharge_amount,obamacare_surcharge_percent*(Table1[[#This Row],[taxable wages]]-obamacare_surcharge_amount),0)</f>
        <v>0</v>
      </c>
      <c r="Z359" s="9">
        <f>Table1[[#This Row],[Federal Taxes Owed (Includes AMT)]]+Table1[[#This Row],[Obamacare surcharge premium]]</f>
        <v>19105</v>
      </c>
      <c r="AA359" s="9">
        <f>Table1[[#This Row],[taxable wages]]-Table1[[#This Row],[Federal Taxes Owed2]]</f>
        <v>141895</v>
      </c>
      <c r="AB359" s="51">
        <f t="shared" ref="AB359:AB422" si="36">(Z359-Z358)/(B359-B358)</f>
        <v>0.3</v>
      </c>
      <c r="AC359" s="41"/>
      <c r="AD359" s="13"/>
      <c r="AE359" s="13"/>
    </row>
    <row r="360" spans="2:31" x14ac:dyDescent="0.3">
      <c r="B360" s="41">
        <f t="shared" ref="B360:B423" si="37">B359+500</f>
        <v>161500</v>
      </c>
      <c r="C360" s="1">
        <f>Table1[[#This Row],[taxable wages]]</f>
        <v>161500</v>
      </c>
      <c r="D360" s="1">
        <f>Table1[[#This Row],[taxable wages]]+interest+dividends+short_term_capital_gains+long_term_capital_gains</f>
        <v>161500</v>
      </c>
      <c r="E360" s="1">
        <f>MAX(Table1[[#This Row],[earned income for EITC]:[Agi For Eitc Calc]])</f>
        <v>161500</v>
      </c>
      <c r="F360" s="1">
        <f>Table1[[#This Row],[taxable wages]]+interest+dividends+short_term_capital_gains+long_term_capital_gains-(trad_ira_contributions+MIN(student_loan_interest_cap,student_loan_interest))</f>
        <v>161500</v>
      </c>
      <c r="G360" s="1">
        <f t="shared" si="33"/>
        <v>12600</v>
      </c>
      <c r="H360" s="1">
        <f t="shared" si="34"/>
        <v>28350</v>
      </c>
      <c r="I360" s="1">
        <f>MAX(0,Table1[[#This Row],[Agi]]-Table1[[#This Row],[Exemptions]]-Table1[[#This Row],[Effective Deductions]])</f>
        <v>120550</v>
      </c>
      <c r="J3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21680</v>
      </c>
      <c r="K360" s="1">
        <f t="shared" si="35"/>
        <v>5000</v>
      </c>
      <c r="L360" s="1">
        <f>IF(Table1[[#This Row],[Agi]]&gt;ctc_phase_out_begins,ctc_phase_out_rate*(Table1[[#This Row],[Agi]]-ctc_phase_out_begins),0)</f>
        <v>2575</v>
      </c>
      <c r="M360" s="1">
        <f>MAX(Table1[[#This Row],[Child Tax Credit]]-Table1[[#This Row],[Child Tax Credit Phase Out]],0)</f>
        <v>2425</v>
      </c>
      <c r="N360" s="1">
        <f>MAX(Table1[[#This Row],[Regular Taxes Owed]]-Table1[[#This Row],[Effective Child Tax Credit]],0)</f>
        <v>19255</v>
      </c>
      <c r="O360" s="1">
        <f>MAX(MIN((Table1[[#This Row],[taxable wages]]-3000)*0.15,1000*num_kids_16_younger),0)</f>
        <v>5000</v>
      </c>
      <c r="P360" s="9">
        <f>IF(Table1[[#This Row],[Effective Child Tax Credit]]&gt;Table1[[#This Row],[Regular Taxes Owed]],Table1[[#This Row],[Additional Child Tax Credit ]]-Table1[[#This Row],[Regular Taxes Owed]],0)</f>
        <v>0</v>
      </c>
      <c r="Q3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0" s="1">
        <f>Table1[[#This Row],[Effective Additional Child Tax Credit]]+Table1[[#This Row],[Eitc]]</f>
        <v>0</v>
      </c>
      <c r="S360" s="9">
        <f>Table1[[#This Row],[Regular Taxes Owed - Effective Child Tax Credit]]-Table1[[#This Row],[Total Credits]]</f>
        <v>19255</v>
      </c>
      <c r="T360" s="9">
        <f>Table1[[#This Row],[taxable wages]]+interest+dividends+short_term_capital_gains+long_term_capital_gains-(charitable_donations+mortgage_interest)</f>
        <v>161500</v>
      </c>
      <c r="U360" s="9">
        <f>MAX(amt_exemption-amt_exemption_phase_out_rate*MAX(Table1[[#This Row],[taxable wages]]-amt_phase_out_begins,0),0)</f>
        <v>83350</v>
      </c>
      <c r="V3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20319</v>
      </c>
      <c r="W360" s="1">
        <f>IF(AND(Table1[[#This Row],[AMT Taxes]]&gt;Table1[[#This Row],[Regular Taxes Owed]],Table1[[#This Row],[AMT Taxes]]&gt;0),Table1[[#This Row],[AMT Taxes]]-Table1[[#This Row],[Regular Taxes Owed]],0)</f>
        <v>0</v>
      </c>
      <c r="X360" s="9">
        <f>Table1[[#This Row],[Extra Taxes From Amt]]+Table1[[#This Row],[Federal Taxes Owed (No AMT)]]</f>
        <v>19255</v>
      </c>
      <c r="Y360" s="9">
        <f>IF(Table1[[#This Row],[taxable wages]]&gt;obamacare_surcharge_amount,obamacare_surcharge_percent*(Table1[[#This Row],[taxable wages]]-obamacare_surcharge_amount),0)</f>
        <v>0</v>
      </c>
      <c r="Z360" s="9">
        <f>Table1[[#This Row],[Federal Taxes Owed (Includes AMT)]]+Table1[[#This Row],[Obamacare surcharge premium]]</f>
        <v>19255</v>
      </c>
      <c r="AA360" s="9">
        <f>Table1[[#This Row],[taxable wages]]-Table1[[#This Row],[Federal Taxes Owed2]]</f>
        <v>142245</v>
      </c>
      <c r="AB360" s="51">
        <f t="shared" si="36"/>
        <v>0.3</v>
      </c>
      <c r="AC360" s="41"/>
      <c r="AD360" s="13"/>
      <c r="AE360" s="13"/>
    </row>
    <row r="361" spans="2:31" x14ac:dyDescent="0.3">
      <c r="B361" s="41">
        <f t="shared" si="37"/>
        <v>162000</v>
      </c>
      <c r="C361" s="1">
        <f>Table1[[#This Row],[taxable wages]]</f>
        <v>162000</v>
      </c>
      <c r="D361" s="1">
        <f>Table1[[#This Row],[taxable wages]]+interest+dividends+short_term_capital_gains+long_term_capital_gains</f>
        <v>162000</v>
      </c>
      <c r="E361" s="1">
        <f>MAX(Table1[[#This Row],[earned income for EITC]:[Agi For Eitc Calc]])</f>
        <v>162000</v>
      </c>
      <c r="F361" s="1">
        <f>Table1[[#This Row],[taxable wages]]+interest+dividends+short_term_capital_gains+long_term_capital_gains-(trad_ira_contributions+MIN(student_loan_interest_cap,student_loan_interest))</f>
        <v>162000</v>
      </c>
      <c r="G361" s="1">
        <f t="shared" si="33"/>
        <v>12600</v>
      </c>
      <c r="H361" s="1">
        <f t="shared" si="34"/>
        <v>28350</v>
      </c>
      <c r="I361" s="1">
        <f>MAX(0,Table1[[#This Row],[Agi]]-Table1[[#This Row],[Exemptions]]-Table1[[#This Row],[Effective Deductions]])</f>
        <v>121050</v>
      </c>
      <c r="J3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21805</v>
      </c>
      <c r="K361" s="1">
        <f t="shared" si="35"/>
        <v>5000</v>
      </c>
      <c r="L361" s="1">
        <f>IF(Table1[[#This Row],[Agi]]&gt;ctc_phase_out_begins,ctc_phase_out_rate*(Table1[[#This Row],[Agi]]-ctc_phase_out_begins),0)</f>
        <v>2600</v>
      </c>
      <c r="M361" s="1">
        <f>MAX(Table1[[#This Row],[Child Tax Credit]]-Table1[[#This Row],[Child Tax Credit Phase Out]],0)</f>
        <v>2400</v>
      </c>
      <c r="N361" s="1">
        <f>MAX(Table1[[#This Row],[Regular Taxes Owed]]-Table1[[#This Row],[Effective Child Tax Credit]],0)</f>
        <v>19405</v>
      </c>
      <c r="O361" s="1">
        <f>MAX(MIN((Table1[[#This Row],[taxable wages]]-3000)*0.15,1000*num_kids_16_younger),0)</f>
        <v>5000</v>
      </c>
      <c r="P361" s="9">
        <f>IF(Table1[[#This Row],[Effective Child Tax Credit]]&gt;Table1[[#This Row],[Regular Taxes Owed]],Table1[[#This Row],[Additional Child Tax Credit ]]-Table1[[#This Row],[Regular Taxes Owed]],0)</f>
        <v>0</v>
      </c>
      <c r="Q3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1" s="1">
        <f>Table1[[#This Row],[Effective Additional Child Tax Credit]]+Table1[[#This Row],[Eitc]]</f>
        <v>0</v>
      </c>
      <c r="S361" s="9">
        <f>Table1[[#This Row],[Regular Taxes Owed - Effective Child Tax Credit]]-Table1[[#This Row],[Total Credits]]</f>
        <v>19405</v>
      </c>
      <c r="T361" s="9">
        <f>Table1[[#This Row],[taxable wages]]+interest+dividends+short_term_capital_gains+long_term_capital_gains-(charitable_donations+mortgage_interest)</f>
        <v>162000</v>
      </c>
      <c r="U361" s="9">
        <f>MAX(amt_exemption-amt_exemption_phase_out_rate*MAX(Table1[[#This Row],[taxable wages]]-amt_phase_out_begins,0),0)</f>
        <v>83225</v>
      </c>
      <c r="V3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20481.5</v>
      </c>
      <c r="W361" s="1">
        <f>IF(AND(Table1[[#This Row],[AMT Taxes]]&gt;Table1[[#This Row],[Regular Taxes Owed]],Table1[[#This Row],[AMT Taxes]]&gt;0),Table1[[#This Row],[AMT Taxes]]-Table1[[#This Row],[Regular Taxes Owed]],0)</f>
        <v>0</v>
      </c>
      <c r="X361" s="9">
        <f>Table1[[#This Row],[Extra Taxes From Amt]]+Table1[[#This Row],[Federal Taxes Owed (No AMT)]]</f>
        <v>19405</v>
      </c>
      <c r="Y361" s="9">
        <f>IF(Table1[[#This Row],[taxable wages]]&gt;obamacare_surcharge_amount,obamacare_surcharge_percent*(Table1[[#This Row],[taxable wages]]-obamacare_surcharge_amount),0)</f>
        <v>0</v>
      </c>
      <c r="Z361" s="9">
        <f>Table1[[#This Row],[Federal Taxes Owed (Includes AMT)]]+Table1[[#This Row],[Obamacare surcharge premium]]</f>
        <v>19405</v>
      </c>
      <c r="AA361" s="9">
        <f>Table1[[#This Row],[taxable wages]]-Table1[[#This Row],[Federal Taxes Owed2]]</f>
        <v>142595</v>
      </c>
      <c r="AB361" s="51">
        <f t="shared" si="36"/>
        <v>0.3</v>
      </c>
      <c r="AC361" s="41"/>
      <c r="AD361" s="13"/>
      <c r="AE361" s="13"/>
    </row>
    <row r="362" spans="2:31" x14ac:dyDescent="0.3">
      <c r="B362" s="41">
        <f t="shared" si="37"/>
        <v>162500</v>
      </c>
      <c r="C362" s="1">
        <f>Table1[[#This Row],[taxable wages]]</f>
        <v>162500</v>
      </c>
      <c r="D362" s="1">
        <f>Table1[[#This Row],[taxable wages]]+interest+dividends+short_term_capital_gains+long_term_capital_gains</f>
        <v>162500</v>
      </c>
      <c r="E362" s="1">
        <f>MAX(Table1[[#This Row],[earned income for EITC]:[Agi For Eitc Calc]])</f>
        <v>162500</v>
      </c>
      <c r="F362" s="1">
        <f>Table1[[#This Row],[taxable wages]]+interest+dividends+short_term_capital_gains+long_term_capital_gains-(trad_ira_contributions+MIN(student_loan_interest_cap,student_loan_interest))</f>
        <v>162500</v>
      </c>
      <c r="G362" s="1">
        <f t="shared" si="33"/>
        <v>12600</v>
      </c>
      <c r="H362" s="1">
        <f t="shared" si="34"/>
        <v>28350</v>
      </c>
      <c r="I362" s="1">
        <f>MAX(0,Table1[[#This Row],[Agi]]-Table1[[#This Row],[Exemptions]]-Table1[[#This Row],[Effective Deductions]])</f>
        <v>121550</v>
      </c>
      <c r="J3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21930</v>
      </c>
      <c r="K362" s="1">
        <f t="shared" si="35"/>
        <v>5000</v>
      </c>
      <c r="L362" s="1">
        <f>IF(Table1[[#This Row],[Agi]]&gt;ctc_phase_out_begins,ctc_phase_out_rate*(Table1[[#This Row],[Agi]]-ctc_phase_out_begins),0)</f>
        <v>2625</v>
      </c>
      <c r="M362" s="1">
        <f>MAX(Table1[[#This Row],[Child Tax Credit]]-Table1[[#This Row],[Child Tax Credit Phase Out]],0)</f>
        <v>2375</v>
      </c>
      <c r="N362" s="1">
        <f>MAX(Table1[[#This Row],[Regular Taxes Owed]]-Table1[[#This Row],[Effective Child Tax Credit]],0)</f>
        <v>19555</v>
      </c>
      <c r="O362" s="1">
        <f>MAX(MIN((Table1[[#This Row],[taxable wages]]-3000)*0.15,1000*num_kids_16_younger),0)</f>
        <v>5000</v>
      </c>
      <c r="P362" s="9">
        <f>IF(Table1[[#This Row],[Effective Child Tax Credit]]&gt;Table1[[#This Row],[Regular Taxes Owed]],Table1[[#This Row],[Additional Child Tax Credit ]]-Table1[[#This Row],[Regular Taxes Owed]],0)</f>
        <v>0</v>
      </c>
      <c r="Q3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2" s="1">
        <f>Table1[[#This Row],[Effective Additional Child Tax Credit]]+Table1[[#This Row],[Eitc]]</f>
        <v>0</v>
      </c>
      <c r="S362" s="9">
        <f>Table1[[#This Row],[Regular Taxes Owed - Effective Child Tax Credit]]-Table1[[#This Row],[Total Credits]]</f>
        <v>19555</v>
      </c>
      <c r="T362" s="9">
        <f>Table1[[#This Row],[taxable wages]]+interest+dividends+short_term_capital_gains+long_term_capital_gains-(charitable_donations+mortgage_interest)</f>
        <v>162500</v>
      </c>
      <c r="U362" s="9">
        <f>MAX(amt_exemption-amt_exemption_phase_out_rate*MAX(Table1[[#This Row],[taxable wages]]-amt_phase_out_begins,0),0)</f>
        <v>83100</v>
      </c>
      <c r="V3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20644</v>
      </c>
      <c r="W362" s="1">
        <f>IF(AND(Table1[[#This Row],[AMT Taxes]]&gt;Table1[[#This Row],[Regular Taxes Owed]],Table1[[#This Row],[AMT Taxes]]&gt;0),Table1[[#This Row],[AMT Taxes]]-Table1[[#This Row],[Regular Taxes Owed]],0)</f>
        <v>0</v>
      </c>
      <c r="X362" s="9">
        <f>Table1[[#This Row],[Extra Taxes From Amt]]+Table1[[#This Row],[Federal Taxes Owed (No AMT)]]</f>
        <v>19555</v>
      </c>
      <c r="Y362" s="9">
        <f>IF(Table1[[#This Row],[taxable wages]]&gt;obamacare_surcharge_amount,obamacare_surcharge_percent*(Table1[[#This Row],[taxable wages]]-obamacare_surcharge_amount),0)</f>
        <v>0</v>
      </c>
      <c r="Z362" s="9">
        <f>Table1[[#This Row],[Federal Taxes Owed (Includes AMT)]]+Table1[[#This Row],[Obamacare surcharge premium]]</f>
        <v>19555</v>
      </c>
      <c r="AA362" s="9">
        <f>Table1[[#This Row],[taxable wages]]-Table1[[#This Row],[Federal Taxes Owed2]]</f>
        <v>142945</v>
      </c>
      <c r="AB362" s="51">
        <f t="shared" si="36"/>
        <v>0.3</v>
      </c>
      <c r="AC362" s="41"/>
      <c r="AD362" s="13"/>
      <c r="AE362" s="13"/>
    </row>
    <row r="363" spans="2:31" x14ac:dyDescent="0.3">
      <c r="B363" s="41">
        <f t="shared" si="37"/>
        <v>163000</v>
      </c>
      <c r="C363" s="1">
        <f>Table1[[#This Row],[taxable wages]]</f>
        <v>163000</v>
      </c>
      <c r="D363" s="1">
        <f>Table1[[#This Row],[taxable wages]]+interest+dividends+short_term_capital_gains+long_term_capital_gains</f>
        <v>163000</v>
      </c>
      <c r="E363" s="1">
        <f>MAX(Table1[[#This Row],[earned income for EITC]:[Agi For Eitc Calc]])</f>
        <v>163000</v>
      </c>
      <c r="F363" s="1">
        <f>Table1[[#This Row],[taxable wages]]+interest+dividends+short_term_capital_gains+long_term_capital_gains-(trad_ira_contributions+MIN(student_loan_interest_cap,student_loan_interest))</f>
        <v>163000</v>
      </c>
      <c r="G363" s="1">
        <f t="shared" si="33"/>
        <v>12600</v>
      </c>
      <c r="H363" s="1">
        <f t="shared" si="34"/>
        <v>28350</v>
      </c>
      <c r="I363" s="1">
        <f>MAX(0,Table1[[#This Row],[Agi]]-Table1[[#This Row],[Exemptions]]-Table1[[#This Row],[Effective Deductions]])</f>
        <v>122050</v>
      </c>
      <c r="J3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22055</v>
      </c>
      <c r="K363" s="1">
        <f t="shared" si="35"/>
        <v>5000</v>
      </c>
      <c r="L363" s="1">
        <f>IF(Table1[[#This Row],[Agi]]&gt;ctc_phase_out_begins,ctc_phase_out_rate*(Table1[[#This Row],[Agi]]-ctc_phase_out_begins),0)</f>
        <v>2650</v>
      </c>
      <c r="M363" s="1">
        <f>MAX(Table1[[#This Row],[Child Tax Credit]]-Table1[[#This Row],[Child Tax Credit Phase Out]],0)</f>
        <v>2350</v>
      </c>
      <c r="N363" s="1">
        <f>MAX(Table1[[#This Row],[Regular Taxes Owed]]-Table1[[#This Row],[Effective Child Tax Credit]],0)</f>
        <v>19705</v>
      </c>
      <c r="O363" s="1">
        <f>MAX(MIN((Table1[[#This Row],[taxable wages]]-3000)*0.15,1000*num_kids_16_younger),0)</f>
        <v>5000</v>
      </c>
      <c r="P363" s="9">
        <f>IF(Table1[[#This Row],[Effective Child Tax Credit]]&gt;Table1[[#This Row],[Regular Taxes Owed]],Table1[[#This Row],[Additional Child Tax Credit ]]-Table1[[#This Row],[Regular Taxes Owed]],0)</f>
        <v>0</v>
      </c>
      <c r="Q3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3" s="1">
        <f>Table1[[#This Row],[Effective Additional Child Tax Credit]]+Table1[[#This Row],[Eitc]]</f>
        <v>0</v>
      </c>
      <c r="S363" s="9">
        <f>Table1[[#This Row],[Regular Taxes Owed - Effective Child Tax Credit]]-Table1[[#This Row],[Total Credits]]</f>
        <v>19705</v>
      </c>
      <c r="T363" s="9">
        <f>Table1[[#This Row],[taxable wages]]+interest+dividends+short_term_capital_gains+long_term_capital_gains-(charitable_donations+mortgage_interest)</f>
        <v>163000</v>
      </c>
      <c r="U363" s="9">
        <f>MAX(amt_exemption-amt_exemption_phase_out_rate*MAX(Table1[[#This Row],[taxable wages]]-amt_phase_out_begins,0),0)</f>
        <v>82975</v>
      </c>
      <c r="V3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20806.5</v>
      </c>
      <c r="W363" s="1">
        <f>IF(AND(Table1[[#This Row],[AMT Taxes]]&gt;Table1[[#This Row],[Regular Taxes Owed]],Table1[[#This Row],[AMT Taxes]]&gt;0),Table1[[#This Row],[AMT Taxes]]-Table1[[#This Row],[Regular Taxes Owed]],0)</f>
        <v>0</v>
      </c>
      <c r="X363" s="9">
        <f>Table1[[#This Row],[Extra Taxes From Amt]]+Table1[[#This Row],[Federal Taxes Owed (No AMT)]]</f>
        <v>19705</v>
      </c>
      <c r="Y363" s="9">
        <f>IF(Table1[[#This Row],[taxable wages]]&gt;obamacare_surcharge_amount,obamacare_surcharge_percent*(Table1[[#This Row],[taxable wages]]-obamacare_surcharge_amount),0)</f>
        <v>0</v>
      </c>
      <c r="Z363" s="9">
        <f>Table1[[#This Row],[Federal Taxes Owed (Includes AMT)]]+Table1[[#This Row],[Obamacare surcharge premium]]</f>
        <v>19705</v>
      </c>
      <c r="AA363" s="9">
        <f>Table1[[#This Row],[taxable wages]]-Table1[[#This Row],[Federal Taxes Owed2]]</f>
        <v>143295</v>
      </c>
      <c r="AB363" s="51">
        <f t="shared" si="36"/>
        <v>0.3</v>
      </c>
      <c r="AC363" s="41"/>
      <c r="AD363" s="13"/>
      <c r="AE363" s="13"/>
    </row>
    <row r="364" spans="2:31" x14ac:dyDescent="0.3">
      <c r="B364" s="41">
        <f t="shared" si="37"/>
        <v>163500</v>
      </c>
      <c r="C364" s="1">
        <f>Table1[[#This Row],[taxable wages]]</f>
        <v>163500</v>
      </c>
      <c r="D364" s="1">
        <f>Table1[[#This Row],[taxable wages]]+interest+dividends+short_term_capital_gains+long_term_capital_gains</f>
        <v>163500</v>
      </c>
      <c r="E364" s="1">
        <f>MAX(Table1[[#This Row],[earned income for EITC]:[Agi For Eitc Calc]])</f>
        <v>163500</v>
      </c>
      <c r="F364" s="1">
        <f>Table1[[#This Row],[taxable wages]]+interest+dividends+short_term_capital_gains+long_term_capital_gains-(trad_ira_contributions+MIN(student_loan_interest_cap,student_loan_interest))</f>
        <v>163500</v>
      </c>
      <c r="G364" s="1">
        <f t="shared" si="33"/>
        <v>12600</v>
      </c>
      <c r="H364" s="1">
        <f t="shared" si="34"/>
        <v>28350</v>
      </c>
      <c r="I364" s="1">
        <f>MAX(0,Table1[[#This Row],[Agi]]-Table1[[#This Row],[Exemptions]]-Table1[[#This Row],[Effective Deductions]])</f>
        <v>122550</v>
      </c>
      <c r="J3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22180</v>
      </c>
      <c r="K364" s="1">
        <f t="shared" si="35"/>
        <v>5000</v>
      </c>
      <c r="L364" s="1">
        <f>IF(Table1[[#This Row],[Agi]]&gt;ctc_phase_out_begins,ctc_phase_out_rate*(Table1[[#This Row],[Agi]]-ctc_phase_out_begins),0)</f>
        <v>2675</v>
      </c>
      <c r="M364" s="1">
        <f>MAX(Table1[[#This Row],[Child Tax Credit]]-Table1[[#This Row],[Child Tax Credit Phase Out]],0)</f>
        <v>2325</v>
      </c>
      <c r="N364" s="1">
        <f>MAX(Table1[[#This Row],[Regular Taxes Owed]]-Table1[[#This Row],[Effective Child Tax Credit]],0)</f>
        <v>19855</v>
      </c>
      <c r="O364" s="1">
        <f>MAX(MIN((Table1[[#This Row],[taxable wages]]-3000)*0.15,1000*num_kids_16_younger),0)</f>
        <v>5000</v>
      </c>
      <c r="P364" s="9">
        <f>IF(Table1[[#This Row],[Effective Child Tax Credit]]&gt;Table1[[#This Row],[Regular Taxes Owed]],Table1[[#This Row],[Additional Child Tax Credit ]]-Table1[[#This Row],[Regular Taxes Owed]],0)</f>
        <v>0</v>
      </c>
      <c r="Q3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4" s="1">
        <f>Table1[[#This Row],[Effective Additional Child Tax Credit]]+Table1[[#This Row],[Eitc]]</f>
        <v>0</v>
      </c>
      <c r="S364" s="9">
        <f>Table1[[#This Row],[Regular Taxes Owed - Effective Child Tax Credit]]-Table1[[#This Row],[Total Credits]]</f>
        <v>19855</v>
      </c>
      <c r="T364" s="9">
        <f>Table1[[#This Row],[taxable wages]]+interest+dividends+short_term_capital_gains+long_term_capital_gains-(charitable_donations+mortgage_interest)</f>
        <v>163500</v>
      </c>
      <c r="U364" s="9">
        <f>MAX(amt_exemption-amt_exemption_phase_out_rate*MAX(Table1[[#This Row],[taxable wages]]-amt_phase_out_begins,0),0)</f>
        <v>82850</v>
      </c>
      <c r="V3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20969</v>
      </c>
      <c r="W364" s="1">
        <f>IF(AND(Table1[[#This Row],[AMT Taxes]]&gt;Table1[[#This Row],[Regular Taxes Owed]],Table1[[#This Row],[AMT Taxes]]&gt;0),Table1[[#This Row],[AMT Taxes]]-Table1[[#This Row],[Regular Taxes Owed]],0)</f>
        <v>0</v>
      </c>
      <c r="X364" s="9">
        <f>Table1[[#This Row],[Extra Taxes From Amt]]+Table1[[#This Row],[Federal Taxes Owed (No AMT)]]</f>
        <v>19855</v>
      </c>
      <c r="Y364" s="9">
        <f>IF(Table1[[#This Row],[taxable wages]]&gt;obamacare_surcharge_amount,obamacare_surcharge_percent*(Table1[[#This Row],[taxable wages]]-obamacare_surcharge_amount),0)</f>
        <v>0</v>
      </c>
      <c r="Z364" s="9">
        <f>Table1[[#This Row],[Federal Taxes Owed (Includes AMT)]]+Table1[[#This Row],[Obamacare surcharge premium]]</f>
        <v>19855</v>
      </c>
      <c r="AA364" s="9">
        <f>Table1[[#This Row],[taxable wages]]-Table1[[#This Row],[Federal Taxes Owed2]]</f>
        <v>143645</v>
      </c>
      <c r="AB364" s="51">
        <f t="shared" si="36"/>
        <v>0.3</v>
      </c>
      <c r="AC364" s="41"/>
      <c r="AD364" s="13"/>
      <c r="AE364" s="13"/>
    </row>
    <row r="365" spans="2:31" x14ac:dyDescent="0.3">
      <c r="B365" s="41">
        <f t="shared" si="37"/>
        <v>164000</v>
      </c>
      <c r="C365" s="1">
        <f>Table1[[#This Row],[taxable wages]]</f>
        <v>164000</v>
      </c>
      <c r="D365" s="1">
        <f>Table1[[#This Row],[taxable wages]]+interest+dividends+short_term_capital_gains+long_term_capital_gains</f>
        <v>164000</v>
      </c>
      <c r="E365" s="1">
        <f>MAX(Table1[[#This Row],[earned income for EITC]:[Agi For Eitc Calc]])</f>
        <v>164000</v>
      </c>
      <c r="F365" s="1">
        <f>Table1[[#This Row],[taxable wages]]+interest+dividends+short_term_capital_gains+long_term_capital_gains-(trad_ira_contributions+MIN(student_loan_interest_cap,student_loan_interest))</f>
        <v>164000</v>
      </c>
      <c r="G365" s="1">
        <f t="shared" si="33"/>
        <v>12600</v>
      </c>
      <c r="H365" s="1">
        <f t="shared" si="34"/>
        <v>28350</v>
      </c>
      <c r="I365" s="1">
        <f>MAX(0,Table1[[#This Row],[Agi]]-Table1[[#This Row],[Exemptions]]-Table1[[#This Row],[Effective Deductions]])</f>
        <v>123050</v>
      </c>
      <c r="J3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22305</v>
      </c>
      <c r="K365" s="1">
        <f t="shared" si="35"/>
        <v>5000</v>
      </c>
      <c r="L365" s="1">
        <f>IF(Table1[[#This Row],[Agi]]&gt;ctc_phase_out_begins,ctc_phase_out_rate*(Table1[[#This Row],[Agi]]-ctc_phase_out_begins),0)</f>
        <v>2700</v>
      </c>
      <c r="M365" s="1">
        <f>MAX(Table1[[#This Row],[Child Tax Credit]]-Table1[[#This Row],[Child Tax Credit Phase Out]],0)</f>
        <v>2300</v>
      </c>
      <c r="N365" s="1">
        <f>MAX(Table1[[#This Row],[Regular Taxes Owed]]-Table1[[#This Row],[Effective Child Tax Credit]],0)</f>
        <v>20005</v>
      </c>
      <c r="O365" s="1">
        <f>MAX(MIN((Table1[[#This Row],[taxable wages]]-3000)*0.15,1000*num_kids_16_younger),0)</f>
        <v>5000</v>
      </c>
      <c r="P365" s="9">
        <f>IF(Table1[[#This Row],[Effective Child Tax Credit]]&gt;Table1[[#This Row],[Regular Taxes Owed]],Table1[[#This Row],[Additional Child Tax Credit ]]-Table1[[#This Row],[Regular Taxes Owed]],0)</f>
        <v>0</v>
      </c>
      <c r="Q3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5" s="1">
        <f>Table1[[#This Row],[Effective Additional Child Tax Credit]]+Table1[[#This Row],[Eitc]]</f>
        <v>0</v>
      </c>
      <c r="S365" s="9">
        <f>Table1[[#This Row],[Regular Taxes Owed - Effective Child Tax Credit]]-Table1[[#This Row],[Total Credits]]</f>
        <v>20005</v>
      </c>
      <c r="T365" s="9">
        <f>Table1[[#This Row],[taxable wages]]+interest+dividends+short_term_capital_gains+long_term_capital_gains-(charitable_donations+mortgage_interest)</f>
        <v>164000</v>
      </c>
      <c r="U365" s="9">
        <f>MAX(amt_exemption-amt_exemption_phase_out_rate*MAX(Table1[[#This Row],[taxable wages]]-amt_phase_out_begins,0),0)</f>
        <v>82725</v>
      </c>
      <c r="V3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21131.5</v>
      </c>
      <c r="W365" s="1">
        <f>IF(AND(Table1[[#This Row],[AMT Taxes]]&gt;Table1[[#This Row],[Regular Taxes Owed]],Table1[[#This Row],[AMT Taxes]]&gt;0),Table1[[#This Row],[AMT Taxes]]-Table1[[#This Row],[Regular Taxes Owed]],0)</f>
        <v>0</v>
      </c>
      <c r="X365" s="9">
        <f>Table1[[#This Row],[Extra Taxes From Amt]]+Table1[[#This Row],[Federal Taxes Owed (No AMT)]]</f>
        <v>20005</v>
      </c>
      <c r="Y365" s="9">
        <f>IF(Table1[[#This Row],[taxable wages]]&gt;obamacare_surcharge_amount,obamacare_surcharge_percent*(Table1[[#This Row],[taxable wages]]-obamacare_surcharge_amount),0)</f>
        <v>0</v>
      </c>
      <c r="Z365" s="9">
        <f>Table1[[#This Row],[Federal Taxes Owed (Includes AMT)]]+Table1[[#This Row],[Obamacare surcharge premium]]</f>
        <v>20005</v>
      </c>
      <c r="AA365" s="9">
        <f>Table1[[#This Row],[taxable wages]]-Table1[[#This Row],[Federal Taxes Owed2]]</f>
        <v>143995</v>
      </c>
      <c r="AB365" s="51">
        <f t="shared" si="36"/>
        <v>0.3</v>
      </c>
      <c r="AC365" s="41"/>
      <c r="AD365" s="13"/>
      <c r="AE365" s="13"/>
    </row>
    <row r="366" spans="2:31" x14ac:dyDescent="0.3">
      <c r="B366" s="41">
        <f t="shared" si="37"/>
        <v>164500</v>
      </c>
      <c r="C366" s="1">
        <f>Table1[[#This Row],[taxable wages]]</f>
        <v>164500</v>
      </c>
      <c r="D366" s="1">
        <f>Table1[[#This Row],[taxable wages]]+interest+dividends+short_term_capital_gains+long_term_capital_gains</f>
        <v>164500</v>
      </c>
      <c r="E366" s="1">
        <f>MAX(Table1[[#This Row],[earned income for EITC]:[Agi For Eitc Calc]])</f>
        <v>164500</v>
      </c>
      <c r="F366" s="1">
        <f>Table1[[#This Row],[taxable wages]]+interest+dividends+short_term_capital_gains+long_term_capital_gains-(trad_ira_contributions+MIN(student_loan_interest_cap,student_loan_interest))</f>
        <v>164500</v>
      </c>
      <c r="G366" s="1">
        <f t="shared" si="33"/>
        <v>12600</v>
      </c>
      <c r="H366" s="1">
        <f t="shared" si="34"/>
        <v>28350</v>
      </c>
      <c r="I366" s="1">
        <f>MAX(0,Table1[[#This Row],[Agi]]-Table1[[#This Row],[Exemptions]]-Table1[[#This Row],[Effective Deductions]])</f>
        <v>123550</v>
      </c>
      <c r="J3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22430</v>
      </c>
      <c r="K366" s="1">
        <f t="shared" si="35"/>
        <v>5000</v>
      </c>
      <c r="L366" s="1">
        <f>IF(Table1[[#This Row],[Agi]]&gt;ctc_phase_out_begins,ctc_phase_out_rate*(Table1[[#This Row],[Agi]]-ctc_phase_out_begins),0)</f>
        <v>2725</v>
      </c>
      <c r="M366" s="1">
        <f>MAX(Table1[[#This Row],[Child Tax Credit]]-Table1[[#This Row],[Child Tax Credit Phase Out]],0)</f>
        <v>2275</v>
      </c>
      <c r="N366" s="1">
        <f>MAX(Table1[[#This Row],[Regular Taxes Owed]]-Table1[[#This Row],[Effective Child Tax Credit]],0)</f>
        <v>20155</v>
      </c>
      <c r="O366" s="1">
        <f>MAX(MIN((Table1[[#This Row],[taxable wages]]-3000)*0.15,1000*num_kids_16_younger),0)</f>
        <v>5000</v>
      </c>
      <c r="P366" s="9">
        <f>IF(Table1[[#This Row],[Effective Child Tax Credit]]&gt;Table1[[#This Row],[Regular Taxes Owed]],Table1[[#This Row],[Additional Child Tax Credit ]]-Table1[[#This Row],[Regular Taxes Owed]],0)</f>
        <v>0</v>
      </c>
      <c r="Q3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6" s="1">
        <f>Table1[[#This Row],[Effective Additional Child Tax Credit]]+Table1[[#This Row],[Eitc]]</f>
        <v>0</v>
      </c>
      <c r="S366" s="9">
        <f>Table1[[#This Row],[Regular Taxes Owed - Effective Child Tax Credit]]-Table1[[#This Row],[Total Credits]]</f>
        <v>20155</v>
      </c>
      <c r="T366" s="9">
        <f>Table1[[#This Row],[taxable wages]]+interest+dividends+short_term_capital_gains+long_term_capital_gains-(charitable_donations+mortgage_interest)</f>
        <v>164500</v>
      </c>
      <c r="U366" s="9">
        <f>MAX(amt_exemption-amt_exemption_phase_out_rate*MAX(Table1[[#This Row],[taxable wages]]-amt_phase_out_begins,0),0)</f>
        <v>82600</v>
      </c>
      <c r="V3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21294</v>
      </c>
      <c r="W366" s="1">
        <f>IF(AND(Table1[[#This Row],[AMT Taxes]]&gt;Table1[[#This Row],[Regular Taxes Owed]],Table1[[#This Row],[AMT Taxes]]&gt;0),Table1[[#This Row],[AMT Taxes]]-Table1[[#This Row],[Regular Taxes Owed]],0)</f>
        <v>0</v>
      </c>
      <c r="X366" s="9">
        <f>Table1[[#This Row],[Extra Taxes From Amt]]+Table1[[#This Row],[Federal Taxes Owed (No AMT)]]</f>
        <v>20155</v>
      </c>
      <c r="Y366" s="9">
        <f>IF(Table1[[#This Row],[taxable wages]]&gt;obamacare_surcharge_amount,obamacare_surcharge_percent*(Table1[[#This Row],[taxable wages]]-obamacare_surcharge_amount),0)</f>
        <v>0</v>
      </c>
      <c r="Z366" s="9">
        <f>Table1[[#This Row],[Federal Taxes Owed (Includes AMT)]]+Table1[[#This Row],[Obamacare surcharge premium]]</f>
        <v>20155</v>
      </c>
      <c r="AA366" s="9">
        <f>Table1[[#This Row],[taxable wages]]-Table1[[#This Row],[Federal Taxes Owed2]]</f>
        <v>144345</v>
      </c>
      <c r="AB366" s="51">
        <f t="shared" si="36"/>
        <v>0.3</v>
      </c>
      <c r="AC366" s="41"/>
      <c r="AD366" s="13"/>
      <c r="AE366" s="13"/>
    </row>
    <row r="367" spans="2:31" x14ac:dyDescent="0.3">
      <c r="B367" s="41">
        <f t="shared" si="37"/>
        <v>165000</v>
      </c>
      <c r="C367" s="1">
        <f>Table1[[#This Row],[taxable wages]]</f>
        <v>165000</v>
      </c>
      <c r="D367" s="1">
        <f>Table1[[#This Row],[taxable wages]]+interest+dividends+short_term_capital_gains+long_term_capital_gains</f>
        <v>165000</v>
      </c>
      <c r="E367" s="1">
        <f>MAX(Table1[[#This Row],[earned income for EITC]:[Agi For Eitc Calc]])</f>
        <v>165000</v>
      </c>
      <c r="F367" s="1">
        <f>Table1[[#This Row],[taxable wages]]+interest+dividends+short_term_capital_gains+long_term_capital_gains-(trad_ira_contributions+MIN(student_loan_interest_cap,student_loan_interest))</f>
        <v>165000</v>
      </c>
      <c r="G367" s="1">
        <f t="shared" si="33"/>
        <v>12600</v>
      </c>
      <c r="H367" s="1">
        <f t="shared" si="34"/>
        <v>28350</v>
      </c>
      <c r="I367" s="1">
        <f>MAX(0,Table1[[#This Row],[Agi]]-Table1[[#This Row],[Exemptions]]-Table1[[#This Row],[Effective Deductions]])</f>
        <v>124050</v>
      </c>
      <c r="J3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22555</v>
      </c>
      <c r="K367" s="1">
        <f t="shared" si="35"/>
        <v>5000</v>
      </c>
      <c r="L367" s="1">
        <f>IF(Table1[[#This Row],[Agi]]&gt;ctc_phase_out_begins,ctc_phase_out_rate*(Table1[[#This Row],[Agi]]-ctc_phase_out_begins),0)</f>
        <v>2750</v>
      </c>
      <c r="M367" s="1">
        <f>MAX(Table1[[#This Row],[Child Tax Credit]]-Table1[[#This Row],[Child Tax Credit Phase Out]],0)</f>
        <v>2250</v>
      </c>
      <c r="N367" s="1">
        <f>MAX(Table1[[#This Row],[Regular Taxes Owed]]-Table1[[#This Row],[Effective Child Tax Credit]],0)</f>
        <v>20305</v>
      </c>
      <c r="O367" s="1">
        <f>MAX(MIN((Table1[[#This Row],[taxable wages]]-3000)*0.15,1000*num_kids_16_younger),0)</f>
        <v>5000</v>
      </c>
      <c r="P367" s="9">
        <f>IF(Table1[[#This Row],[Effective Child Tax Credit]]&gt;Table1[[#This Row],[Regular Taxes Owed]],Table1[[#This Row],[Additional Child Tax Credit ]]-Table1[[#This Row],[Regular Taxes Owed]],0)</f>
        <v>0</v>
      </c>
      <c r="Q3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7" s="1">
        <f>Table1[[#This Row],[Effective Additional Child Tax Credit]]+Table1[[#This Row],[Eitc]]</f>
        <v>0</v>
      </c>
      <c r="S367" s="9">
        <f>Table1[[#This Row],[Regular Taxes Owed - Effective Child Tax Credit]]-Table1[[#This Row],[Total Credits]]</f>
        <v>20305</v>
      </c>
      <c r="T367" s="9">
        <f>Table1[[#This Row],[taxable wages]]+interest+dividends+short_term_capital_gains+long_term_capital_gains-(charitable_donations+mortgage_interest)</f>
        <v>165000</v>
      </c>
      <c r="U367" s="9">
        <f>MAX(amt_exemption-amt_exemption_phase_out_rate*MAX(Table1[[#This Row],[taxable wages]]-amt_phase_out_begins,0),0)</f>
        <v>82475</v>
      </c>
      <c r="V3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21456.5</v>
      </c>
      <c r="W367" s="1">
        <f>IF(AND(Table1[[#This Row],[AMT Taxes]]&gt;Table1[[#This Row],[Regular Taxes Owed]],Table1[[#This Row],[AMT Taxes]]&gt;0),Table1[[#This Row],[AMT Taxes]]-Table1[[#This Row],[Regular Taxes Owed]],0)</f>
        <v>0</v>
      </c>
      <c r="X367" s="9">
        <f>Table1[[#This Row],[Extra Taxes From Amt]]+Table1[[#This Row],[Federal Taxes Owed (No AMT)]]</f>
        <v>20305</v>
      </c>
      <c r="Y367" s="9">
        <f>IF(Table1[[#This Row],[taxable wages]]&gt;obamacare_surcharge_amount,obamacare_surcharge_percent*(Table1[[#This Row],[taxable wages]]-obamacare_surcharge_amount),0)</f>
        <v>0</v>
      </c>
      <c r="Z367" s="9">
        <f>Table1[[#This Row],[Federal Taxes Owed (Includes AMT)]]+Table1[[#This Row],[Obamacare surcharge premium]]</f>
        <v>20305</v>
      </c>
      <c r="AA367" s="9">
        <f>Table1[[#This Row],[taxable wages]]-Table1[[#This Row],[Federal Taxes Owed2]]</f>
        <v>144695</v>
      </c>
      <c r="AB367" s="51">
        <f t="shared" si="36"/>
        <v>0.3</v>
      </c>
      <c r="AC367" s="41"/>
      <c r="AD367" s="13"/>
      <c r="AE367" s="13"/>
    </row>
    <row r="368" spans="2:31" x14ac:dyDescent="0.3">
      <c r="B368" s="41">
        <f t="shared" si="37"/>
        <v>165500</v>
      </c>
      <c r="C368" s="1">
        <f>Table1[[#This Row],[taxable wages]]</f>
        <v>165500</v>
      </c>
      <c r="D368" s="1">
        <f>Table1[[#This Row],[taxable wages]]+interest+dividends+short_term_capital_gains+long_term_capital_gains</f>
        <v>165500</v>
      </c>
      <c r="E368" s="1">
        <f>MAX(Table1[[#This Row],[earned income for EITC]:[Agi For Eitc Calc]])</f>
        <v>165500</v>
      </c>
      <c r="F368" s="1">
        <f>Table1[[#This Row],[taxable wages]]+interest+dividends+short_term_capital_gains+long_term_capital_gains-(trad_ira_contributions+MIN(student_loan_interest_cap,student_loan_interest))</f>
        <v>165500</v>
      </c>
      <c r="G368" s="1">
        <f t="shared" si="33"/>
        <v>12600</v>
      </c>
      <c r="H368" s="1">
        <f t="shared" si="34"/>
        <v>28350</v>
      </c>
      <c r="I368" s="1">
        <f>MAX(0,Table1[[#This Row],[Agi]]-Table1[[#This Row],[Exemptions]]-Table1[[#This Row],[Effective Deductions]])</f>
        <v>124550</v>
      </c>
      <c r="J3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22680</v>
      </c>
      <c r="K368" s="1">
        <f t="shared" si="35"/>
        <v>5000</v>
      </c>
      <c r="L368" s="1">
        <f>IF(Table1[[#This Row],[Agi]]&gt;ctc_phase_out_begins,ctc_phase_out_rate*(Table1[[#This Row],[Agi]]-ctc_phase_out_begins),0)</f>
        <v>2775</v>
      </c>
      <c r="M368" s="1">
        <f>MAX(Table1[[#This Row],[Child Tax Credit]]-Table1[[#This Row],[Child Tax Credit Phase Out]],0)</f>
        <v>2225</v>
      </c>
      <c r="N368" s="1">
        <f>MAX(Table1[[#This Row],[Regular Taxes Owed]]-Table1[[#This Row],[Effective Child Tax Credit]],0)</f>
        <v>20455</v>
      </c>
      <c r="O368" s="1">
        <f>MAX(MIN((Table1[[#This Row],[taxable wages]]-3000)*0.15,1000*num_kids_16_younger),0)</f>
        <v>5000</v>
      </c>
      <c r="P368" s="9">
        <f>IF(Table1[[#This Row],[Effective Child Tax Credit]]&gt;Table1[[#This Row],[Regular Taxes Owed]],Table1[[#This Row],[Additional Child Tax Credit ]]-Table1[[#This Row],[Regular Taxes Owed]],0)</f>
        <v>0</v>
      </c>
      <c r="Q3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8" s="1">
        <f>Table1[[#This Row],[Effective Additional Child Tax Credit]]+Table1[[#This Row],[Eitc]]</f>
        <v>0</v>
      </c>
      <c r="S368" s="9">
        <f>Table1[[#This Row],[Regular Taxes Owed - Effective Child Tax Credit]]-Table1[[#This Row],[Total Credits]]</f>
        <v>20455</v>
      </c>
      <c r="T368" s="9">
        <f>Table1[[#This Row],[taxable wages]]+interest+dividends+short_term_capital_gains+long_term_capital_gains-(charitable_donations+mortgage_interest)</f>
        <v>165500</v>
      </c>
      <c r="U368" s="9">
        <f>MAX(amt_exemption-amt_exemption_phase_out_rate*MAX(Table1[[#This Row],[taxable wages]]-amt_phase_out_begins,0),0)</f>
        <v>82350</v>
      </c>
      <c r="V3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21619</v>
      </c>
      <c r="W368" s="1">
        <f>IF(AND(Table1[[#This Row],[AMT Taxes]]&gt;Table1[[#This Row],[Regular Taxes Owed]],Table1[[#This Row],[AMT Taxes]]&gt;0),Table1[[#This Row],[AMT Taxes]]-Table1[[#This Row],[Regular Taxes Owed]],0)</f>
        <v>0</v>
      </c>
      <c r="X368" s="9">
        <f>Table1[[#This Row],[Extra Taxes From Amt]]+Table1[[#This Row],[Federal Taxes Owed (No AMT)]]</f>
        <v>20455</v>
      </c>
      <c r="Y368" s="9">
        <f>IF(Table1[[#This Row],[taxable wages]]&gt;obamacare_surcharge_amount,obamacare_surcharge_percent*(Table1[[#This Row],[taxable wages]]-obamacare_surcharge_amount),0)</f>
        <v>0</v>
      </c>
      <c r="Z368" s="9">
        <f>Table1[[#This Row],[Federal Taxes Owed (Includes AMT)]]+Table1[[#This Row],[Obamacare surcharge premium]]</f>
        <v>20455</v>
      </c>
      <c r="AA368" s="9">
        <f>Table1[[#This Row],[taxable wages]]-Table1[[#This Row],[Federal Taxes Owed2]]</f>
        <v>145045</v>
      </c>
      <c r="AB368" s="51">
        <f t="shared" si="36"/>
        <v>0.3</v>
      </c>
      <c r="AC368" s="41"/>
      <c r="AD368" s="13"/>
      <c r="AE368" s="13"/>
    </row>
    <row r="369" spans="2:31" x14ac:dyDescent="0.3">
      <c r="B369" s="41">
        <f t="shared" si="37"/>
        <v>166000</v>
      </c>
      <c r="C369" s="1">
        <f>Table1[[#This Row],[taxable wages]]</f>
        <v>166000</v>
      </c>
      <c r="D369" s="1">
        <f>Table1[[#This Row],[taxable wages]]+interest+dividends+short_term_capital_gains+long_term_capital_gains</f>
        <v>166000</v>
      </c>
      <c r="E369" s="1">
        <f>MAX(Table1[[#This Row],[earned income for EITC]:[Agi For Eitc Calc]])</f>
        <v>166000</v>
      </c>
      <c r="F369" s="1">
        <f>Table1[[#This Row],[taxable wages]]+interest+dividends+short_term_capital_gains+long_term_capital_gains-(trad_ira_contributions+MIN(student_loan_interest_cap,student_loan_interest))</f>
        <v>166000</v>
      </c>
      <c r="G369" s="1">
        <f t="shared" si="33"/>
        <v>12600</v>
      </c>
      <c r="H369" s="1">
        <f t="shared" si="34"/>
        <v>28350</v>
      </c>
      <c r="I369" s="1">
        <f>MAX(0,Table1[[#This Row],[Agi]]-Table1[[#This Row],[Exemptions]]-Table1[[#This Row],[Effective Deductions]])</f>
        <v>125050</v>
      </c>
      <c r="J3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22805</v>
      </c>
      <c r="K369" s="1">
        <f t="shared" si="35"/>
        <v>5000</v>
      </c>
      <c r="L369" s="1">
        <f>IF(Table1[[#This Row],[Agi]]&gt;ctc_phase_out_begins,ctc_phase_out_rate*(Table1[[#This Row],[Agi]]-ctc_phase_out_begins),0)</f>
        <v>2800</v>
      </c>
      <c r="M369" s="1">
        <f>MAX(Table1[[#This Row],[Child Tax Credit]]-Table1[[#This Row],[Child Tax Credit Phase Out]],0)</f>
        <v>2200</v>
      </c>
      <c r="N369" s="1">
        <f>MAX(Table1[[#This Row],[Regular Taxes Owed]]-Table1[[#This Row],[Effective Child Tax Credit]],0)</f>
        <v>20605</v>
      </c>
      <c r="O369" s="1">
        <f>MAX(MIN((Table1[[#This Row],[taxable wages]]-3000)*0.15,1000*num_kids_16_younger),0)</f>
        <v>5000</v>
      </c>
      <c r="P369" s="9">
        <f>IF(Table1[[#This Row],[Effective Child Tax Credit]]&gt;Table1[[#This Row],[Regular Taxes Owed]],Table1[[#This Row],[Additional Child Tax Credit ]]-Table1[[#This Row],[Regular Taxes Owed]],0)</f>
        <v>0</v>
      </c>
      <c r="Q3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69" s="1">
        <f>Table1[[#This Row],[Effective Additional Child Tax Credit]]+Table1[[#This Row],[Eitc]]</f>
        <v>0</v>
      </c>
      <c r="S369" s="9">
        <f>Table1[[#This Row],[Regular Taxes Owed - Effective Child Tax Credit]]-Table1[[#This Row],[Total Credits]]</f>
        <v>20605</v>
      </c>
      <c r="T369" s="9">
        <f>Table1[[#This Row],[taxable wages]]+interest+dividends+short_term_capital_gains+long_term_capital_gains-(charitable_donations+mortgage_interest)</f>
        <v>166000</v>
      </c>
      <c r="U369" s="9">
        <f>MAX(amt_exemption-amt_exemption_phase_out_rate*MAX(Table1[[#This Row],[taxable wages]]-amt_phase_out_begins,0),0)</f>
        <v>82225</v>
      </c>
      <c r="V3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21781.5</v>
      </c>
      <c r="W369" s="1">
        <f>IF(AND(Table1[[#This Row],[AMT Taxes]]&gt;Table1[[#This Row],[Regular Taxes Owed]],Table1[[#This Row],[AMT Taxes]]&gt;0),Table1[[#This Row],[AMT Taxes]]-Table1[[#This Row],[Regular Taxes Owed]],0)</f>
        <v>0</v>
      </c>
      <c r="X369" s="9">
        <f>Table1[[#This Row],[Extra Taxes From Amt]]+Table1[[#This Row],[Federal Taxes Owed (No AMT)]]</f>
        <v>20605</v>
      </c>
      <c r="Y369" s="9">
        <f>IF(Table1[[#This Row],[taxable wages]]&gt;obamacare_surcharge_amount,obamacare_surcharge_percent*(Table1[[#This Row],[taxable wages]]-obamacare_surcharge_amount),0)</f>
        <v>0</v>
      </c>
      <c r="Z369" s="9">
        <f>Table1[[#This Row],[Federal Taxes Owed (Includes AMT)]]+Table1[[#This Row],[Obamacare surcharge premium]]</f>
        <v>20605</v>
      </c>
      <c r="AA369" s="9">
        <f>Table1[[#This Row],[taxable wages]]-Table1[[#This Row],[Federal Taxes Owed2]]</f>
        <v>145395</v>
      </c>
      <c r="AB369" s="51">
        <f t="shared" si="36"/>
        <v>0.3</v>
      </c>
      <c r="AC369" s="41"/>
      <c r="AD369" s="13"/>
      <c r="AE369" s="13"/>
    </row>
    <row r="370" spans="2:31" x14ac:dyDescent="0.3">
      <c r="B370" s="41">
        <f t="shared" si="37"/>
        <v>166500</v>
      </c>
      <c r="C370" s="1">
        <f>Table1[[#This Row],[taxable wages]]</f>
        <v>166500</v>
      </c>
      <c r="D370" s="1">
        <f>Table1[[#This Row],[taxable wages]]+interest+dividends+short_term_capital_gains+long_term_capital_gains</f>
        <v>166500</v>
      </c>
      <c r="E370" s="1">
        <f>MAX(Table1[[#This Row],[earned income for EITC]:[Agi For Eitc Calc]])</f>
        <v>166500</v>
      </c>
      <c r="F370" s="1">
        <f>Table1[[#This Row],[taxable wages]]+interest+dividends+short_term_capital_gains+long_term_capital_gains-(trad_ira_contributions+MIN(student_loan_interest_cap,student_loan_interest))</f>
        <v>166500</v>
      </c>
      <c r="G370" s="1">
        <f t="shared" si="33"/>
        <v>12600</v>
      </c>
      <c r="H370" s="1">
        <f t="shared" si="34"/>
        <v>28350</v>
      </c>
      <c r="I370" s="1">
        <f>MAX(0,Table1[[#This Row],[Agi]]-Table1[[#This Row],[Exemptions]]-Table1[[#This Row],[Effective Deductions]])</f>
        <v>125550</v>
      </c>
      <c r="J3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22930</v>
      </c>
      <c r="K370" s="1">
        <f t="shared" si="35"/>
        <v>5000</v>
      </c>
      <c r="L370" s="1">
        <f>IF(Table1[[#This Row],[Agi]]&gt;ctc_phase_out_begins,ctc_phase_out_rate*(Table1[[#This Row],[Agi]]-ctc_phase_out_begins),0)</f>
        <v>2825</v>
      </c>
      <c r="M370" s="1">
        <f>MAX(Table1[[#This Row],[Child Tax Credit]]-Table1[[#This Row],[Child Tax Credit Phase Out]],0)</f>
        <v>2175</v>
      </c>
      <c r="N370" s="1">
        <f>MAX(Table1[[#This Row],[Regular Taxes Owed]]-Table1[[#This Row],[Effective Child Tax Credit]],0)</f>
        <v>20755</v>
      </c>
      <c r="O370" s="1">
        <f>MAX(MIN((Table1[[#This Row],[taxable wages]]-3000)*0.15,1000*num_kids_16_younger),0)</f>
        <v>5000</v>
      </c>
      <c r="P370" s="9">
        <f>IF(Table1[[#This Row],[Effective Child Tax Credit]]&gt;Table1[[#This Row],[Regular Taxes Owed]],Table1[[#This Row],[Additional Child Tax Credit ]]-Table1[[#This Row],[Regular Taxes Owed]],0)</f>
        <v>0</v>
      </c>
      <c r="Q3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0" s="1">
        <f>Table1[[#This Row],[Effective Additional Child Tax Credit]]+Table1[[#This Row],[Eitc]]</f>
        <v>0</v>
      </c>
      <c r="S370" s="9">
        <f>Table1[[#This Row],[Regular Taxes Owed - Effective Child Tax Credit]]-Table1[[#This Row],[Total Credits]]</f>
        <v>20755</v>
      </c>
      <c r="T370" s="9">
        <f>Table1[[#This Row],[taxable wages]]+interest+dividends+short_term_capital_gains+long_term_capital_gains-(charitable_donations+mortgage_interest)</f>
        <v>166500</v>
      </c>
      <c r="U370" s="9">
        <f>MAX(amt_exemption-amt_exemption_phase_out_rate*MAX(Table1[[#This Row],[taxable wages]]-amt_phase_out_begins,0),0)</f>
        <v>82100</v>
      </c>
      <c r="V3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21944</v>
      </c>
      <c r="W370" s="1">
        <f>IF(AND(Table1[[#This Row],[AMT Taxes]]&gt;Table1[[#This Row],[Regular Taxes Owed]],Table1[[#This Row],[AMT Taxes]]&gt;0),Table1[[#This Row],[AMT Taxes]]-Table1[[#This Row],[Regular Taxes Owed]],0)</f>
        <v>0</v>
      </c>
      <c r="X370" s="9">
        <f>Table1[[#This Row],[Extra Taxes From Amt]]+Table1[[#This Row],[Federal Taxes Owed (No AMT)]]</f>
        <v>20755</v>
      </c>
      <c r="Y370" s="9">
        <f>IF(Table1[[#This Row],[taxable wages]]&gt;obamacare_surcharge_amount,obamacare_surcharge_percent*(Table1[[#This Row],[taxable wages]]-obamacare_surcharge_amount),0)</f>
        <v>0</v>
      </c>
      <c r="Z370" s="9">
        <f>Table1[[#This Row],[Federal Taxes Owed (Includes AMT)]]+Table1[[#This Row],[Obamacare surcharge premium]]</f>
        <v>20755</v>
      </c>
      <c r="AA370" s="9">
        <f>Table1[[#This Row],[taxable wages]]-Table1[[#This Row],[Federal Taxes Owed2]]</f>
        <v>145745</v>
      </c>
      <c r="AB370" s="51">
        <f t="shared" si="36"/>
        <v>0.3</v>
      </c>
      <c r="AC370" s="41"/>
      <c r="AD370" s="13"/>
      <c r="AE370" s="13"/>
    </row>
    <row r="371" spans="2:31" x14ac:dyDescent="0.3">
      <c r="B371" s="41">
        <f t="shared" si="37"/>
        <v>167000</v>
      </c>
      <c r="C371" s="1">
        <f>Table1[[#This Row],[taxable wages]]</f>
        <v>167000</v>
      </c>
      <c r="D371" s="1">
        <f>Table1[[#This Row],[taxable wages]]+interest+dividends+short_term_capital_gains+long_term_capital_gains</f>
        <v>167000</v>
      </c>
      <c r="E371" s="1">
        <f>MAX(Table1[[#This Row],[earned income for EITC]:[Agi For Eitc Calc]])</f>
        <v>167000</v>
      </c>
      <c r="F371" s="1">
        <f>Table1[[#This Row],[taxable wages]]+interest+dividends+short_term_capital_gains+long_term_capital_gains-(trad_ira_contributions+MIN(student_loan_interest_cap,student_loan_interest))</f>
        <v>167000</v>
      </c>
      <c r="G371" s="1">
        <f t="shared" si="33"/>
        <v>12600</v>
      </c>
      <c r="H371" s="1">
        <f t="shared" si="34"/>
        <v>28350</v>
      </c>
      <c r="I371" s="1">
        <f>MAX(0,Table1[[#This Row],[Agi]]-Table1[[#This Row],[Exemptions]]-Table1[[#This Row],[Effective Deductions]])</f>
        <v>126050</v>
      </c>
      <c r="J3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23055</v>
      </c>
      <c r="K371" s="1">
        <f t="shared" si="35"/>
        <v>5000</v>
      </c>
      <c r="L371" s="1">
        <f>IF(Table1[[#This Row],[Agi]]&gt;ctc_phase_out_begins,ctc_phase_out_rate*(Table1[[#This Row],[Agi]]-ctc_phase_out_begins),0)</f>
        <v>2850</v>
      </c>
      <c r="M371" s="1">
        <f>MAX(Table1[[#This Row],[Child Tax Credit]]-Table1[[#This Row],[Child Tax Credit Phase Out]],0)</f>
        <v>2150</v>
      </c>
      <c r="N371" s="1">
        <f>MAX(Table1[[#This Row],[Regular Taxes Owed]]-Table1[[#This Row],[Effective Child Tax Credit]],0)</f>
        <v>20905</v>
      </c>
      <c r="O371" s="1">
        <f>MAX(MIN((Table1[[#This Row],[taxable wages]]-3000)*0.15,1000*num_kids_16_younger),0)</f>
        <v>5000</v>
      </c>
      <c r="P371" s="9">
        <f>IF(Table1[[#This Row],[Effective Child Tax Credit]]&gt;Table1[[#This Row],[Regular Taxes Owed]],Table1[[#This Row],[Additional Child Tax Credit ]]-Table1[[#This Row],[Regular Taxes Owed]],0)</f>
        <v>0</v>
      </c>
      <c r="Q3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1" s="1">
        <f>Table1[[#This Row],[Effective Additional Child Tax Credit]]+Table1[[#This Row],[Eitc]]</f>
        <v>0</v>
      </c>
      <c r="S371" s="9">
        <f>Table1[[#This Row],[Regular Taxes Owed - Effective Child Tax Credit]]-Table1[[#This Row],[Total Credits]]</f>
        <v>20905</v>
      </c>
      <c r="T371" s="9">
        <f>Table1[[#This Row],[taxable wages]]+interest+dividends+short_term_capital_gains+long_term_capital_gains-(charitable_donations+mortgage_interest)</f>
        <v>167000</v>
      </c>
      <c r="U371" s="9">
        <f>MAX(amt_exemption-amt_exemption_phase_out_rate*MAX(Table1[[#This Row],[taxable wages]]-amt_phase_out_begins,0),0)</f>
        <v>81975</v>
      </c>
      <c r="V3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22106.5</v>
      </c>
      <c r="W371" s="1">
        <f>IF(AND(Table1[[#This Row],[AMT Taxes]]&gt;Table1[[#This Row],[Regular Taxes Owed]],Table1[[#This Row],[AMT Taxes]]&gt;0),Table1[[#This Row],[AMT Taxes]]-Table1[[#This Row],[Regular Taxes Owed]],0)</f>
        <v>0</v>
      </c>
      <c r="X371" s="9">
        <f>Table1[[#This Row],[Extra Taxes From Amt]]+Table1[[#This Row],[Federal Taxes Owed (No AMT)]]</f>
        <v>20905</v>
      </c>
      <c r="Y371" s="9">
        <f>IF(Table1[[#This Row],[taxable wages]]&gt;obamacare_surcharge_amount,obamacare_surcharge_percent*(Table1[[#This Row],[taxable wages]]-obamacare_surcharge_amount),0)</f>
        <v>0</v>
      </c>
      <c r="Z371" s="9">
        <f>Table1[[#This Row],[Federal Taxes Owed (Includes AMT)]]+Table1[[#This Row],[Obamacare surcharge premium]]</f>
        <v>20905</v>
      </c>
      <c r="AA371" s="9">
        <f>Table1[[#This Row],[taxable wages]]-Table1[[#This Row],[Federal Taxes Owed2]]</f>
        <v>146095</v>
      </c>
      <c r="AB371" s="51">
        <f t="shared" si="36"/>
        <v>0.3</v>
      </c>
      <c r="AC371" s="41"/>
      <c r="AD371" s="13"/>
      <c r="AE371" s="13"/>
    </row>
    <row r="372" spans="2:31" x14ac:dyDescent="0.3">
      <c r="B372" s="41">
        <f t="shared" si="37"/>
        <v>167500</v>
      </c>
      <c r="C372" s="1">
        <f>Table1[[#This Row],[taxable wages]]</f>
        <v>167500</v>
      </c>
      <c r="D372" s="1">
        <f>Table1[[#This Row],[taxable wages]]+interest+dividends+short_term_capital_gains+long_term_capital_gains</f>
        <v>167500</v>
      </c>
      <c r="E372" s="1">
        <f>MAX(Table1[[#This Row],[earned income for EITC]:[Agi For Eitc Calc]])</f>
        <v>167500</v>
      </c>
      <c r="F372" s="1">
        <f>Table1[[#This Row],[taxable wages]]+interest+dividends+short_term_capital_gains+long_term_capital_gains-(trad_ira_contributions+MIN(student_loan_interest_cap,student_loan_interest))</f>
        <v>167500</v>
      </c>
      <c r="G372" s="1">
        <f t="shared" si="33"/>
        <v>12600</v>
      </c>
      <c r="H372" s="1">
        <f t="shared" si="34"/>
        <v>28350</v>
      </c>
      <c r="I372" s="1">
        <f>MAX(0,Table1[[#This Row],[Agi]]-Table1[[#This Row],[Exemptions]]-Table1[[#This Row],[Effective Deductions]])</f>
        <v>126550</v>
      </c>
      <c r="J3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23180</v>
      </c>
      <c r="K372" s="1">
        <f t="shared" si="35"/>
        <v>5000</v>
      </c>
      <c r="L372" s="1">
        <f>IF(Table1[[#This Row],[Agi]]&gt;ctc_phase_out_begins,ctc_phase_out_rate*(Table1[[#This Row],[Agi]]-ctc_phase_out_begins),0)</f>
        <v>2875</v>
      </c>
      <c r="M372" s="1">
        <f>MAX(Table1[[#This Row],[Child Tax Credit]]-Table1[[#This Row],[Child Tax Credit Phase Out]],0)</f>
        <v>2125</v>
      </c>
      <c r="N372" s="1">
        <f>MAX(Table1[[#This Row],[Regular Taxes Owed]]-Table1[[#This Row],[Effective Child Tax Credit]],0)</f>
        <v>21055</v>
      </c>
      <c r="O372" s="1">
        <f>MAX(MIN((Table1[[#This Row],[taxable wages]]-3000)*0.15,1000*num_kids_16_younger),0)</f>
        <v>5000</v>
      </c>
      <c r="P372" s="9">
        <f>IF(Table1[[#This Row],[Effective Child Tax Credit]]&gt;Table1[[#This Row],[Regular Taxes Owed]],Table1[[#This Row],[Additional Child Tax Credit ]]-Table1[[#This Row],[Regular Taxes Owed]],0)</f>
        <v>0</v>
      </c>
      <c r="Q3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2" s="1">
        <f>Table1[[#This Row],[Effective Additional Child Tax Credit]]+Table1[[#This Row],[Eitc]]</f>
        <v>0</v>
      </c>
      <c r="S372" s="9">
        <f>Table1[[#This Row],[Regular Taxes Owed - Effective Child Tax Credit]]-Table1[[#This Row],[Total Credits]]</f>
        <v>21055</v>
      </c>
      <c r="T372" s="9">
        <f>Table1[[#This Row],[taxable wages]]+interest+dividends+short_term_capital_gains+long_term_capital_gains-(charitable_donations+mortgage_interest)</f>
        <v>167500</v>
      </c>
      <c r="U372" s="9">
        <f>MAX(amt_exemption-amt_exemption_phase_out_rate*MAX(Table1[[#This Row],[taxable wages]]-amt_phase_out_begins,0),0)</f>
        <v>81850</v>
      </c>
      <c r="V3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22269</v>
      </c>
      <c r="W372" s="1">
        <f>IF(AND(Table1[[#This Row],[AMT Taxes]]&gt;Table1[[#This Row],[Regular Taxes Owed]],Table1[[#This Row],[AMT Taxes]]&gt;0),Table1[[#This Row],[AMT Taxes]]-Table1[[#This Row],[Regular Taxes Owed]],0)</f>
        <v>0</v>
      </c>
      <c r="X372" s="9">
        <f>Table1[[#This Row],[Extra Taxes From Amt]]+Table1[[#This Row],[Federal Taxes Owed (No AMT)]]</f>
        <v>21055</v>
      </c>
      <c r="Y372" s="9">
        <f>IF(Table1[[#This Row],[taxable wages]]&gt;obamacare_surcharge_amount,obamacare_surcharge_percent*(Table1[[#This Row],[taxable wages]]-obamacare_surcharge_amount),0)</f>
        <v>0</v>
      </c>
      <c r="Z372" s="9">
        <f>Table1[[#This Row],[Federal Taxes Owed (Includes AMT)]]+Table1[[#This Row],[Obamacare surcharge premium]]</f>
        <v>21055</v>
      </c>
      <c r="AA372" s="9">
        <f>Table1[[#This Row],[taxable wages]]-Table1[[#This Row],[Federal Taxes Owed2]]</f>
        <v>146445</v>
      </c>
      <c r="AB372" s="51">
        <f t="shared" si="36"/>
        <v>0.3</v>
      </c>
      <c r="AC372" s="41"/>
      <c r="AD372" s="13"/>
      <c r="AE372" s="13"/>
    </row>
    <row r="373" spans="2:31" x14ac:dyDescent="0.3">
      <c r="B373" s="41">
        <f t="shared" si="37"/>
        <v>168000</v>
      </c>
      <c r="C373" s="1">
        <f>Table1[[#This Row],[taxable wages]]</f>
        <v>168000</v>
      </c>
      <c r="D373" s="1">
        <f>Table1[[#This Row],[taxable wages]]+interest+dividends+short_term_capital_gains+long_term_capital_gains</f>
        <v>168000</v>
      </c>
      <c r="E373" s="1">
        <f>MAX(Table1[[#This Row],[earned income for EITC]:[Agi For Eitc Calc]])</f>
        <v>168000</v>
      </c>
      <c r="F373" s="1">
        <f>Table1[[#This Row],[taxable wages]]+interest+dividends+short_term_capital_gains+long_term_capital_gains-(trad_ira_contributions+MIN(student_loan_interest_cap,student_loan_interest))</f>
        <v>168000</v>
      </c>
      <c r="G373" s="1">
        <f t="shared" si="33"/>
        <v>12600</v>
      </c>
      <c r="H373" s="1">
        <f t="shared" si="34"/>
        <v>28350</v>
      </c>
      <c r="I373" s="1">
        <f>MAX(0,Table1[[#This Row],[Agi]]-Table1[[#This Row],[Exemptions]]-Table1[[#This Row],[Effective Deductions]])</f>
        <v>127050</v>
      </c>
      <c r="J3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23305</v>
      </c>
      <c r="K373" s="1">
        <f t="shared" si="35"/>
        <v>5000</v>
      </c>
      <c r="L373" s="1">
        <f>IF(Table1[[#This Row],[Agi]]&gt;ctc_phase_out_begins,ctc_phase_out_rate*(Table1[[#This Row],[Agi]]-ctc_phase_out_begins),0)</f>
        <v>2900</v>
      </c>
      <c r="M373" s="1">
        <f>MAX(Table1[[#This Row],[Child Tax Credit]]-Table1[[#This Row],[Child Tax Credit Phase Out]],0)</f>
        <v>2100</v>
      </c>
      <c r="N373" s="1">
        <f>MAX(Table1[[#This Row],[Regular Taxes Owed]]-Table1[[#This Row],[Effective Child Tax Credit]],0)</f>
        <v>21205</v>
      </c>
      <c r="O373" s="1">
        <f>MAX(MIN((Table1[[#This Row],[taxable wages]]-3000)*0.15,1000*num_kids_16_younger),0)</f>
        <v>5000</v>
      </c>
      <c r="P373" s="9">
        <f>IF(Table1[[#This Row],[Effective Child Tax Credit]]&gt;Table1[[#This Row],[Regular Taxes Owed]],Table1[[#This Row],[Additional Child Tax Credit ]]-Table1[[#This Row],[Regular Taxes Owed]],0)</f>
        <v>0</v>
      </c>
      <c r="Q3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3" s="1">
        <f>Table1[[#This Row],[Effective Additional Child Tax Credit]]+Table1[[#This Row],[Eitc]]</f>
        <v>0</v>
      </c>
      <c r="S373" s="9">
        <f>Table1[[#This Row],[Regular Taxes Owed - Effective Child Tax Credit]]-Table1[[#This Row],[Total Credits]]</f>
        <v>21205</v>
      </c>
      <c r="T373" s="9">
        <f>Table1[[#This Row],[taxable wages]]+interest+dividends+short_term_capital_gains+long_term_capital_gains-(charitable_donations+mortgage_interest)</f>
        <v>168000</v>
      </c>
      <c r="U373" s="9">
        <f>MAX(amt_exemption-amt_exemption_phase_out_rate*MAX(Table1[[#This Row],[taxable wages]]-amt_phase_out_begins,0),0)</f>
        <v>81725</v>
      </c>
      <c r="V3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22431.5</v>
      </c>
      <c r="W373" s="1">
        <f>IF(AND(Table1[[#This Row],[AMT Taxes]]&gt;Table1[[#This Row],[Regular Taxes Owed]],Table1[[#This Row],[AMT Taxes]]&gt;0),Table1[[#This Row],[AMT Taxes]]-Table1[[#This Row],[Regular Taxes Owed]],0)</f>
        <v>0</v>
      </c>
      <c r="X373" s="9">
        <f>Table1[[#This Row],[Extra Taxes From Amt]]+Table1[[#This Row],[Federal Taxes Owed (No AMT)]]</f>
        <v>21205</v>
      </c>
      <c r="Y373" s="9">
        <f>IF(Table1[[#This Row],[taxable wages]]&gt;obamacare_surcharge_amount,obamacare_surcharge_percent*(Table1[[#This Row],[taxable wages]]-obamacare_surcharge_amount),0)</f>
        <v>0</v>
      </c>
      <c r="Z373" s="9">
        <f>Table1[[#This Row],[Federal Taxes Owed (Includes AMT)]]+Table1[[#This Row],[Obamacare surcharge premium]]</f>
        <v>21205</v>
      </c>
      <c r="AA373" s="9">
        <f>Table1[[#This Row],[taxable wages]]-Table1[[#This Row],[Federal Taxes Owed2]]</f>
        <v>146795</v>
      </c>
      <c r="AB373" s="51">
        <f t="shared" si="36"/>
        <v>0.3</v>
      </c>
      <c r="AC373" s="41"/>
      <c r="AD373" s="13"/>
      <c r="AE373" s="13"/>
    </row>
    <row r="374" spans="2:31" x14ac:dyDescent="0.3">
      <c r="B374" s="41">
        <f t="shared" si="37"/>
        <v>168500</v>
      </c>
      <c r="C374" s="1">
        <f>Table1[[#This Row],[taxable wages]]</f>
        <v>168500</v>
      </c>
      <c r="D374" s="1">
        <f>Table1[[#This Row],[taxable wages]]+interest+dividends+short_term_capital_gains+long_term_capital_gains</f>
        <v>168500</v>
      </c>
      <c r="E374" s="1">
        <f>MAX(Table1[[#This Row],[earned income for EITC]:[Agi For Eitc Calc]])</f>
        <v>168500</v>
      </c>
      <c r="F374" s="1">
        <f>Table1[[#This Row],[taxable wages]]+interest+dividends+short_term_capital_gains+long_term_capital_gains-(trad_ira_contributions+MIN(student_loan_interest_cap,student_loan_interest))</f>
        <v>168500</v>
      </c>
      <c r="G374" s="1">
        <f t="shared" si="33"/>
        <v>12600</v>
      </c>
      <c r="H374" s="1">
        <f t="shared" si="34"/>
        <v>28350</v>
      </c>
      <c r="I374" s="1">
        <f>MAX(0,Table1[[#This Row],[Agi]]-Table1[[#This Row],[Exemptions]]-Table1[[#This Row],[Effective Deductions]])</f>
        <v>127550</v>
      </c>
      <c r="J3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23430</v>
      </c>
      <c r="K374" s="1">
        <f t="shared" si="35"/>
        <v>5000</v>
      </c>
      <c r="L374" s="1">
        <f>IF(Table1[[#This Row],[Agi]]&gt;ctc_phase_out_begins,ctc_phase_out_rate*(Table1[[#This Row],[Agi]]-ctc_phase_out_begins),0)</f>
        <v>2925</v>
      </c>
      <c r="M374" s="1">
        <f>MAX(Table1[[#This Row],[Child Tax Credit]]-Table1[[#This Row],[Child Tax Credit Phase Out]],0)</f>
        <v>2075</v>
      </c>
      <c r="N374" s="1">
        <f>MAX(Table1[[#This Row],[Regular Taxes Owed]]-Table1[[#This Row],[Effective Child Tax Credit]],0)</f>
        <v>21355</v>
      </c>
      <c r="O374" s="1">
        <f>MAX(MIN((Table1[[#This Row],[taxable wages]]-3000)*0.15,1000*num_kids_16_younger),0)</f>
        <v>5000</v>
      </c>
      <c r="P374" s="9">
        <f>IF(Table1[[#This Row],[Effective Child Tax Credit]]&gt;Table1[[#This Row],[Regular Taxes Owed]],Table1[[#This Row],[Additional Child Tax Credit ]]-Table1[[#This Row],[Regular Taxes Owed]],0)</f>
        <v>0</v>
      </c>
      <c r="Q3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4" s="1">
        <f>Table1[[#This Row],[Effective Additional Child Tax Credit]]+Table1[[#This Row],[Eitc]]</f>
        <v>0</v>
      </c>
      <c r="S374" s="9">
        <f>Table1[[#This Row],[Regular Taxes Owed - Effective Child Tax Credit]]-Table1[[#This Row],[Total Credits]]</f>
        <v>21355</v>
      </c>
      <c r="T374" s="9">
        <f>Table1[[#This Row],[taxable wages]]+interest+dividends+short_term_capital_gains+long_term_capital_gains-(charitable_donations+mortgage_interest)</f>
        <v>168500</v>
      </c>
      <c r="U374" s="9">
        <f>MAX(amt_exemption-amt_exemption_phase_out_rate*MAX(Table1[[#This Row],[taxable wages]]-amt_phase_out_begins,0),0)</f>
        <v>81600</v>
      </c>
      <c r="V3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22594</v>
      </c>
      <c r="W374" s="1">
        <f>IF(AND(Table1[[#This Row],[AMT Taxes]]&gt;Table1[[#This Row],[Regular Taxes Owed]],Table1[[#This Row],[AMT Taxes]]&gt;0),Table1[[#This Row],[AMT Taxes]]-Table1[[#This Row],[Regular Taxes Owed]],0)</f>
        <v>0</v>
      </c>
      <c r="X374" s="9">
        <f>Table1[[#This Row],[Extra Taxes From Amt]]+Table1[[#This Row],[Federal Taxes Owed (No AMT)]]</f>
        <v>21355</v>
      </c>
      <c r="Y374" s="9">
        <f>IF(Table1[[#This Row],[taxable wages]]&gt;obamacare_surcharge_amount,obamacare_surcharge_percent*(Table1[[#This Row],[taxable wages]]-obamacare_surcharge_amount),0)</f>
        <v>0</v>
      </c>
      <c r="Z374" s="9">
        <f>Table1[[#This Row],[Federal Taxes Owed (Includes AMT)]]+Table1[[#This Row],[Obamacare surcharge premium]]</f>
        <v>21355</v>
      </c>
      <c r="AA374" s="9">
        <f>Table1[[#This Row],[taxable wages]]-Table1[[#This Row],[Federal Taxes Owed2]]</f>
        <v>147145</v>
      </c>
      <c r="AB374" s="51">
        <f t="shared" si="36"/>
        <v>0.3</v>
      </c>
      <c r="AC374" s="41"/>
      <c r="AD374" s="13"/>
      <c r="AE374" s="13"/>
    </row>
    <row r="375" spans="2:31" x14ac:dyDescent="0.3">
      <c r="B375" s="41">
        <f t="shared" si="37"/>
        <v>169000</v>
      </c>
      <c r="C375" s="1">
        <f>Table1[[#This Row],[taxable wages]]</f>
        <v>169000</v>
      </c>
      <c r="D375" s="1">
        <f>Table1[[#This Row],[taxable wages]]+interest+dividends+short_term_capital_gains+long_term_capital_gains</f>
        <v>169000</v>
      </c>
      <c r="E375" s="1">
        <f>MAX(Table1[[#This Row],[earned income for EITC]:[Agi For Eitc Calc]])</f>
        <v>169000</v>
      </c>
      <c r="F375" s="1">
        <f>Table1[[#This Row],[taxable wages]]+interest+dividends+short_term_capital_gains+long_term_capital_gains-(trad_ira_contributions+MIN(student_loan_interest_cap,student_loan_interest))</f>
        <v>169000</v>
      </c>
      <c r="G375" s="1">
        <f t="shared" si="33"/>
        <v>12600</v>
      </c>
      <c r="H375" s="1">
        <f t="shared" si="34"/>
        <v>28350</v>
      </c>
      <c r="I375" s="1">
        <f>MAX(0,Table1[[#This Row],[Agi]]-Table1[[#This Row],[Exemptions]]-Table1[[#This Row],[Effective Deductions]])</f>
        <v>128050</v>
      </c>
      <c r="J3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23555</v>
      </c>
      <c r="K375" s="1">
        <f t="shared" si="35"/>
        <v>5000</v>
      </c>
      <c r="L375" s="1">
        <f>IF(Table1[[#This Row],[Agi]]&gt;ctc_phase_out_begins,ctc_phase_out_rate*(Table1[[#This Row],[Agi]]-ctc_phase_out_begins),0)</f>
        <v>2950</v>
      </c>
      <c r="M375" s="1">
        <f>MAX(Table1[[#This Row],[Child Tax Credit]]-Table1[[#This Row],[Child Tax Credit Phase Out]],0)</f>
        <v>2050</v>
      </c>
      <c r="N375" s="1">
        <f>MAX(Table1[[#This Row],[Regular Taxes Owed]]-Table1[[#This Row],[Effective Child Tax Credit]],0)</f>
        <v>21505</v>
      </c>
      <c r="O375" s="1">
        <f>MAX(MIN((Table1[[#This Row],[taxable wages]]-3000)*0.15,1000*num_kids_16_younger),0)</f>
        <v>5000</v>
      </c>
      <c r="P375" s="9">
        <f>IF(Table1[[#This Row],[Effective Child Tax Credit]]&gt;Table1[[#This Row],[Regular Taxes Owed]],Table1[[#This Row],[Additional Child Tax Credit ]]-Table1[[#This Row],[Regular Taxes Owed]],0)</f>
        <v>0</v>
      </c>
      <c r="Q3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5" s="1">
        <f>Table1[[#This Row],[Effective Additional Child Tax Credit]]+Table1[[#This Row],[Eitc]]</f>
        <v>0</v>
      </c>
      <c r="S375" s="9">
        <f>Table1[[#This Row],[Regular Taxes Owed - Effective Child Tax Credit]]-Table1[[#This Row],[Total Credits]]</f>
        <v>21505</v>
      </c>
      <c r="T375" s="9">
        <f>Table1[[#This Row],[taxable wages]]+interest+dividends+short_term_capital_gains+long_term_capital_gains-(charitable_donations+mortgage_interest)</f>
        <v>169000</v>
      </c>
      <c r="U375" s="9">
        <f>MAX(amt_exemption-amt_exemption_phase_out_rate*MAX(Table1[[#This Row],[taxable wages]]-amt_phase_out_begins,0),0)</f>
        <v>81475</v>
      </c>
      <c r="V3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22756.5</v>
      </c>
      <c r="W375" s="1">
        <f>IF(AND(Table1[[#This Row],[AMT Taxes]]&gt;Table1[[#This Row],[Regular Taxes Owed]],Table1[[#This Row],[AMT Taxes]]&gt;0),Table1[[#This Row],[AMT Taxes]]-Table1[[#This Row],[Regular Taxes Owed]],0)</f>
        <v>0</v>
      </c>
      <c r="X375" s="9">
        <f>Table1[[#This Row],[Extra Taxes From Amt]]+Table1[[#This Row],[Federal Taxes Owed (No AMT)]]</f>
        <v>21505</v>
      </c>
      <c r="Y375" s="9">
        <f>IF(Table1[[#This Row],[taxable wages]]&gt;obamacare_surcharge_amount,obamacare_surcharge_percent*(Table1[[#This Row],[taxable wages]]-obamacare_surcharge_amount),0)</f>
        <v>0</v>
      </c>
      <c r="Z375" s="9">
        <f>Table1[[#This Row],[Federal Taxes Owed (Includes AMT)]]+Table1[[#This Row],[Obamacare surcharge premium]]</f>
        <v>21505</v>
      </c>
      <c r="AA375" s="9">
        <f>Table1[[#This Row],[taxable wages]]-Table1[[#This Row],[Federal Taxes Owed2]]</f>
        <v>147495</v>
      </c>
      <c r="AB375" s="51">
        <f t="shared" si="36"/>
        <v>0.3</v>
      </c>
      <c r="AC375" s="41"/>
      <c r="AD375" s="13"/>
      <c r="AE375" s="13"/>
    </row>
    <row r="376" spans="2:31" x14ac:dyDescent="0.3">
      <c r="B376" s="41">
        <f t="shared" si="37"/>
        <v>169500</v>
      </c>
      <c r="C376" s="1">
        <f>Table1[[#This Row],[taxable wages]]</f>
        <v>169500</v>
      </c>
      <c r="D376" s="1">
        <f>Table1[[#This Row],[taxable wages]]+interest+dividends+short_term_capital_gains+long_term_capital_gains</f>
        <v>169500</v>
      </c>
      <c r="E376" s="1">
        <f>MAX(Table1[[#This Row],[earned income for EITC]:[Agi For Eitc Calc]])</f>
        <v>169500</v>
      </c>
      <c r="F376" s="1">
        <f>Table1[[#This Row],[taxable wages]]+interest+dividends+short_term_capital_gains+long_term_capital_gains-(trad_ira_contributions+MIN(student_loan_interest_cap,student_loan_interest))</f>
        <v>169500</v>
      </c>
      <c r="G376" s="1">
        <f t="shared" si="33"/>
        <v>12600</v>
      </c>
      <c r="H376" s="1">
        <f t="shared" si="34"/>
        <v>28350</v>
      </c>
      <c r="I376" s="1">
        <f>MAX(0,Table1[[#This Row],[Agi]]-Table1[[#This Row],[Exemptions]]-Table1[[#This Row],[Effective Deductions]])</f>
        <v>128550</v>
      </c>
      <c r="J3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23680</v>
      </c>
      <c r="K376" s="1">
        <f t="shared" si="35"/>
        <v>5000</v>
      </c>
      <c r="L376" s="1">
        <f>IF(Table1[[#This Row],[Agi]]&gt;ctc_phase_out_begins,ctc_phase_out_rate*(Table1[[#This Row],[Agi]]-ctc_phase_out_begins),0)</f>
        <v>2975</v>
      </c>
      <c r="M376" s="1">
        <f>MAX(Table1[[#This Row],[Child Tax Credit]]-Table1[[#This Row],[Child Tax Credit Phase Out]],0)</f>
        <v>2025</v>
      </c>
      <c r="N376" s="1">
        <f>MAX(Table1[[#This Row],[Regular Taxes Owed]]-Table1[[#This Row],[Effective Child Tax Credit]],0)</f>
        <v>21655</v>
      </c>
      <c r="O376" s="1">
        <f>MAX(MIN((Table1[[#This Row],[taxable wages]]-3000)*0.15,1000*num_kids_16_younger),0)</f>
        <v>5000</v>
      </c>
      <c r="P376" s="9">
        <f>IF(Table1[[#This Row],[Effective Child Tax Credit]]&gt;Table1[[#This Row],[Regular Taxes Owed]],Table1[[#This Row],[Additional Child Tax Credit ]]-Table1[[#This Row],[Regular Taxes Owed]],0)</f>
        <v>0</v>
      </c>
      <c r="Q3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6" s="1">
        <f>Table1[[#This Row],[Effective Additional Child Tax Credit]]+Table1[[#This Row],[Eitc]]</f>
        <v>0</v>
      </c>
      <c r="S376" s="9">
        <f>Table1[[#This Row],[Regular Taxes Owed - Effective Child Tax Credit]]-Table1[[#This Row],[Total Credits]]</f>
        <v>21655</v>
      </c>
      <c r="T376" s="9">
        <f>Table1[[#This Row],[taxable wages]]+interest+dividends+short_term_capital_gains+long_term_capital_gains-(charitable_donations+mortgage_interest)</f>
        <v>169500</v>
      </c>
      <c r="U376" s="9">
        <f>MAX(amt_exemption-amt_exemption_phase_out_rate*MAX(Table1[[#This Row],[taxable wages]]-amt_phase_out_begins,0),0)</f>
        <v>81350</v>
      </c>
      <c r="V3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22919</v>
      </c>
      <c r="W376" s="1">
        <f>IF(AND(Table1[[#This Row],[AMT Taxes]]&gt;Table1[[#This Row],[Regular Taxes Owed]],Table1[[#This Row],[AMT Taxes]]&gt;0),Table1[[#This Row],[AMT Taxes]]-Table1[[#This Row],[Regular Taxes Owed]],0)</f>
        <v>0</v>
      </c>
      <c r="X376" s="9">
        <f>Table1[[#This Row],[Extra Taxes From Amt]]+Table1[[#This Row],[Federal Taxes Owed (No AMT)]]</f>
        <v>21655</v>
      </c>
      <c r="Y376" s="9">
        <f>IF(Table1[[#This Row],[taxable wages]]&gt;obamacare_surcharge_amount,obamacare_surcharge_percent*(Table1[[#This Row],[taxable wages]]-obamacare_surcharge_amount),0)</f>
        <v>0</v>
      </c>
      <c r="Z376" s="9">
        <f>Table1[[#This Row],[Federal Taxes Owed (Includes AMT)]]+Table1[[#This Row],[Obamacare surcharge premium]]</f>
        <v>21655</v>
      </c>
      <c r="AA376" s="9">
        <f>Table1[[#This Row],[taxable wages]]-Table1[[#This Row],[Federal Taxes Owed2]]</f>
        <v>147845</v>
      </c>
      <c r="AB376" s="51">
        <f t="shared" si="36"/>
        <v>0.3</v>
      </c>
      <c r="AC376" s="41"/>
      <c r="AD376" s="13"/>
      <c r="AE376" s="13"/>
    </row>
    <row r="377" spans="2:31" x14ac:dyDescent="0.3">
      <c r="B377" s="41">
        <f t="shared" si="37"/>
        <v>170000</v>
      </c>
      <c r="C377" s="1">
        <f>Table1[[#This Row],[taxable wages]]</f>
        <v>170000</v>
      </c>
      <c r="D377" s="1">
        <f>Table1[[#This Row],[taxable wages]]+interest+dividends+short_term_capital_gains+long_term_capital_gains</f>
        <v>170000</v>
      </c>
      <c r="E377" s="1">
        <f>MAX(Table1[[#This Row],[earned income for EITC]:[Agi For Eitc Calc]])</f>
        <v>170000</v>
      </c>
      <c r="F377" s="1">
        <f>Table1[[#This Row],[taxable wages]]+interest+dividends+short_term_capital_gains+long_term_capital_gains-(trad_ira_contributions+MIN(student_loan_interest_cap,student_loan_interest))</f>
        <v>170000</v>
      </c>
      <c r="G377" s="1">
        <f t="shared" si="33"/>
        <v>12600</v>
      </c>
      <c r="H377" s="1">
        <f t="shared" si="34"/>
        <v>28350</v>
      </c>
      <c r="I377" s="1">
        <f>MAX(0,Table1[[#This Row],[Agi]]-Table1[[#This Row],[Exemptions]]-Table1[[#This Row],[Effective Deductions]])</f>
        <v>129050</v>
      </c>
      <c r="J3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23805</v>
      </c>
      <c r="K377" s="1">
        <f t="shared" si="35"/>
        <v>5000</v>
      </c>
      <c r="L377" s="1">
        <f>IF(Table1[[#This Row],[Agi]]&gt;ctc_phase_out_begins,ctc_phase_out_rate*(Table1[[#This Row],[Agi]]-ctc_phase_out_begins),0)</f>
        <v>3000</v>
      </c>
      <c r="M377" s="1">
        <f>MAX(Table1[[#This Row],[Child Tax Credit]]-Table1[[#This Row],[Child Tax Credit Phase Out]],0)</f>
        <v>2000</v>
      </c>
      <c r="N377" s="1">
        <f>MAX(Table1[[#This Row],[Regular Taxes Owed]]-Table1[[#This Row],[Effective Child Tax Credit]],0)</f>
        <v>21805</v>
      </c>
      <c r="O377" s="1">
        <f>MAX(MIN((Table1[[#This Row],[taxable wages]]-3000)*0.15,1000*num_kids_16_younger),0)</f>
        <v>5000</v>
      </c>
      <c r="P377" s="9">
        <f>IF(Table1[[#This Row],[Effective Child Tax Credit]]&gt;Table1[[#This Row],[Regular Taxes Owed]],Table1[[#This Row],[Additional Child Tax Credit ]]-Table1[[#This Row],[Regular Taxes Owed]],0)</f>
        <v>0</v>
      </c>
      <c r="Q3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7" s="1">
        <f>Table1[[#This Row],[Effective Additional Child Tax Credit]]+Table1[[#This Row],[Eitc]]</f>
        <v>0</v>
      </c>
      <c r="S377" s="9">
        <f>Table1[[#This Row],[Regular Taxes Owed - Effective Child Tax Credit]]-Table1[[#This Row],[Total Credits]]</f>
        <v>21805</v>
      </c>
      <c r="T377" s="9">
        <f>Table1[[#This Row],[taxable wages]]+interest+dividends+short_term_capital_gains+long_term_capital_gains-(charitable_donations+mortgage_interest)</f>
        <v>170000</v>
      </c>
      <c r="U377" s="9">
        <f>MAX(amt_exemption-amt_exemption_phase_out_rate*MAX(Table1[[#This Row],[taxable wages]]-amt_phase_out_begins,0),0)</f>
        <v>81225</v>
      </c>
      <c r="V3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23081.5</v>
      </c>
      <c r="W377" s="1">
        <f>IF(AND(Table1[[#This Row],[AMT Taxes]]&gt;Table1[[#This Row],[Regular Taxes Owed]],Table1[[#This Row],[AMT Taxes]]&gt;0),Table1[[#This Row],[AMT Taxes]]-Table1[[#This Row],[Regular Taxes Owed]],0)</f>
        <v>0</v>
      </c>
      <c r="X377" s="9">
        <f>Table1[[#This Row],[Extra Taxes From Amt]]+Table1[[#This Row],[Federal Taxes Owed (No AMT)]]</f>
        <v>21805</v>
      </c>
      <c r="Y377" s="9">
        <f>IF(Table1[[#This Row],[taxable wages]]&gt;obamacare_surcharge_amount,obamacare_surcharge_percent*(Table1[[#This Row],[taxable wages]]-obamacare_surcharge_amount),0)</f>
        <v>0</v>
      </c>
      <c r="Z377" s="9">
        <f>Table1[[#This Row],[Federal Taxes Owed (Includes AMT)]]+Table1[[#This Row],[Obamacare surcharge premium]]</f>
        <v>21805</v>
      </c>
      <c r="AA377" s="9">
        <f>Table1[[#This Row],[taxable wages]]-Table1[[#This Row],[Federal Taxes Owed2]]</f>
        <v>148195</v>
      </c>
      <c r="AB377" s="51">
        <f t="shared" si="36"/>
        <v>0.3</v>
      </c>
      <c r="AC377" s="41"/>
      <c r="AD377" s="13"/>
      <c r="AE377" s="13"/>
    </row>
    <row r="378" spans="2:31" x14ac:dyDescent="0.3">
      <c r="B378" s="41">
        <f t="shared" si="37"/>
        <v>170500</v>
      </c>
      <c r="C378" s="1">
        <f>Table1[[#This Row],[taxable wages]]</f>
        <v>170500</v>
      </c>
      <c r="D378" s="1">
        <f>Table1[[#This Row],[taxable wages]]+interest+dividends+short_term_capital_gains+long_term_capital_gains</f>
        <v>170500</v>
      </c>
      <c r="E378" s="1">
        <f>MAX(Table1[[#This Row],[earned income for EITC]:[Agi For Eitc Calc]])</f>
        <v>170500</v>
      </c>
      <c r="F378" s="1">
        <f>Table1[[#This Row],[taxable wages]]+interest+dividends+short_term_capital_gains+long_term_capital_gains-(trad_ira_contributions+MIN(student_loan_interest_cap,student_loan_interest))</f>
        <v>170500</v>
      </c>
      <c r="G378" s="1">
        <f t="shared" si="33"/>
        <v>12600</v>
      </c>
      <c r="H378" s="1">
        <f t="shared" si="34"/>
        <v>28350</v>
      </c>
      <c r="I378" s="1">
        <f>MAX(0,Table1[[#This Row],[Agi]]-Table1[[#This Row],[Exemptions]]-Table1[[#This Row],[Effective Deductions]])</f>
        <v>129550</v>
      </c>
      <c r="J3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23930</v>
      </c>
      <c r="K378" s="1">
        <f t="shared" si="35"/>
        <v>5000</v>
      </c>
      <c r="L378" s="1">
        <f>IF(Table1[[#This Row],[Agi]]&gt;ctc_phase_out_begins,ctc_phase_out_rate*(Table1[[#This Row],[Agi]]-ctc_phase_out_begins),0)</f>
        <v>3025</v>
      </c>
      <c r="M378" s="1">
        <f>MAX(Table1[[#This Row],[Child Tax Credit]]-Table1[[#This Row],[Child Tax Credit Phase Out]],0)</f>
        <v>1975</v>
      </c>
      <c r="N378" s="1">
        <f>MAX(Table1[[#This Row],[Regular Taxes Owed]]-Table1[[#This Row],[Effective Child Tax Credit]],0)</f>
        <v>21955</v>
      </c>
      <c r="O378" s="1">
        <f>MAX(MIN((Table1[[#This Row],[taxable wages]]-3000)*0.15,1000*num_kids_16_younger),0)</f>
        <v>5000</v>
      </c>
      <c r="P378" s="9">
        <f>IF(Table1[[#This Row],[Effective Child Tax Credit]]&gt;Table1[[#This Row],[Regular Taxes Owed]],Table1[[#This Row],[Additional Child Tax Credit ]]-Table1[[#This Row],[Regular Taxes Owed]],0)</f>
        <v>0</v>
      </c>
      <c r="Q3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8" s="1">
        <f>Table1[[#This Row],[Effective Additional Child Tax Credit]]+Table1[[#This Row],[Eitc]]</f>
        <v>0</v>
      </c>
      <c r="S378" s="9">
        <f>Table1[[#This Row],[Regular Taxes Owed - Effective Child Tax Credit]]-Table1[[#This Row],[Total Credits]]</f>
        <v>21955</v>
      </c>
      <c r="T378" s="9">
        <f>Table1[[#This Row],[taxable wages]]+interest+dividends+short_term_capital_gains+long_term_capital_gains-(charitable_donations+mortgage_interest)</f>
        <v>170500</v>
      </c>
      <c r="U378" s="9">
        <f>MAX(amt_exemption-amt_exemption_phase_out_rate*MAX(Table1[[#This Row],[taxable wages]]-amt_phase_out_begins,0),0)</f>
        <v>81100</v>
      </c>
      <c r="V3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23244</v>
      </c>
      <c r="W378" s="1">
        <f>IF(AND(Table1[[#This Row],[AMT Taxes]]&gt;Table1[[#This Row],[Regular Taxes Owed]],Table1[[#This Row],[AMT Taxes]]&gt;0),Table1[[#This Row],[AMT Taxes]]-Table1[[#This Row],[Regular Taxes Owed]],0)</f>
        <v>0</v>
      </c>
      <c r="X378" s="9">
        <f>Table1[[#This Row],[Extra Taxes From Amt]]+Table1[[#This Row],[Federal Taxes Owed (No AMT)]]</f>
        <v>21955</v>
      </c>
      <c r="Y378" s="9">
        <f>IF(Table1[[#This Row],[taxable wages]]&gt;obamacare_surcharge_amount,obamacare_surcharge_percent*(Table1[[#This Row],[taxable wages]]-obamacare_surcharge_amount),0)</f>
        <v>0</v>
      </c>
      <c r="Z378" s="9">
        <f>Table1[[#This Row],[Federal Taxes Owed (Includes AMT)]]+Table1[[#This Row],[Obamacare surcharge premium]]</f>
        <v>21955</v>
      </c>
      <c r="AA378" s="9">
        <f>Table1[[#This Row],[taxable wages]]-Table1[[#This Row],[Federal Taxes Owed2]]</f>
        <v>148545</v>
      </c>
      <c r="AB378" s="51">
        <f t="shared" si="36"/>
        <v>0.3</v>
      </c>
      <c r="AC378" s="41"/>
      <c r="AD378" s="13"/>
      <c r="AE378" s="13"/>
    </row>
    <row r="379" spans="2:31" x14ac:dyDescent="0.3">
      <c r="B379" s="41">
        <f t="shared" si="37"/>
        <v>171000</v>
      </c>
      <c r="C379" s="1">
        <f>Table1[[#This Row],[taxable wages]]</f>
        <v>171000</v>
      </c>
      <c r="D379" s="1">
        <f>Table1[[#This Row],[taxable wages]]+interest+dividends+short_term_capital_gains+long_term_capital_gains</f>
        <v>171000</v>
      </c>
      <c r="E379" s="1">
        <f>MAX(Table1[[#This Row],[earned income for EITC]:[Agi For Eitc Calc]])</f>
        <v>171000</v>
      </c>
      <c r="F379" s="1">
        <f>Table1[[#This Row],[taxable wages]]+interest+dividends+short_term_capital_gains+long_term_capital_gains-(trad_ira_contributions+MIN(student_loan_interest_cap,student_loan_interest))</f>
        <v>171000</v>
      </c>
      <c r="G379" s="1">
        <f t="shared" si="33"/>
        <v>12600</v>
      </c>
      <c r="H379" s="1">
        <f t="shared" si="34"/>
        <v>28350</v>
      </c>
      <c r="I379" s="1">
        <f>MAX(0,Table1[[#This Row],[Agi]]-Table1[[#This Row],[Exemptions]]-Table1[[#This Row],[Effective Deductions]])</f>
        <v>130050</v>
      </c>
      <c r="J3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24055</v>
      </c>
      <c r="K379" s="1">
        <f t="shared" si="35"/>
        <v>5000</v>
      </c>
      <c r="L379" s="1">
        <f>IF(Table1[[#This Row],[Agi]]&gt;ctc_phase_out_begins,ctc_phase_out_rate*(Table1[[#This Row],[Agi]]-ctc_phase_out_begins),0)</f>
        <v>3050</v>
      </c>
      <c r="M379" s="1">
        <f>MAX(Table1[[#This Row],[Child Tax Credit]]-Table1[[#This Row],[Child Tax Credit Phase Out]],0)</f>
        <v>1950</v>
      </c>
      <c r="N379" s="1">
        <f>MAX(Table1[[#This Row],[Regular Taxes Owed]]-Table1[[#This Row],[Effective Child Tax Credit]],0)</f>
        <v>22105</v>
      </c>
      <c r="O379" s="1">
        <f>MAX(MIN((Table1[[#This Row],[taxable wages]]-3000)*0.15,1000*num_kids_16_younger),0)</f>
        <v>5000</v>
      </c>
      <c r="P379" s="9">
        <f>IF(Table1[[#This Row],[Effective Child Tax Credit]]&gt;Table1[[#This Row],[Regular Taxes Owed]],Table1[[#This Row],[Additional Child Tax Credit ]]-Table1[[#This Row],[Regular Taxes Owed]],0)</f>
        <v>0</v>
      </c>
      <c r="Q3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79" s="1">
        <f>Table1[[#This Row],[Effective Additional Child Tax Credit]]+Table1[[#This Row],[Eitc]]</f>
        <v>0</v>
      </c>
      <c r="S379" s="9">
        <f>Table1[[#This Row],[Regular Taxes Owed - Effective Child Tax Credit]]-Table1[[#This Row],[Total Credits]]</f>
        <v>22105</v>
      </c>
      <c r="T379" s="9">
        <f>Table1[[#This Row],[taxable wages]]+interest+dividends+short_term_capital_gains+long_term_capital_gains-(charitable_donations+mortgage_interest)</f>
        <v>171000</v>
      </c>
      <c r="U379" s="9">
        <f>MAX(amt_exemption-amt_exemption_phase_out_rate*MAX(Table1[[#This Row],[taxable wages]]-amt_phase_out_begins,0),0)</f>
        <v>80975</v>
      </c>
      <c r="V3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23406.5</v>
      </c>
      <c r="W379" s="1">
        <f>IF(AND(Table1[[#This Row],[AMT Taxes]]&gt;Table1[[#This Row],[Regular Taxes Owed]],Table1[[#This Row],[AMT Taxes]]&gt;0),Table1[[#This Row],[AMT Taxes]]-Table1[[#This Row],[Regular Taxes Owed]],0)</f>
        <v>0</v>
      </c>
      <c r="X379" s="9">
        <f>Table1[[#This Row],[Extra Taxes From Amt]]+Table1[[#This Row],[Federal Taxes Owed (No AMT)]]</f>
        <v>22105</v>
      </c>
      <c r="Y379" s="9">
        <f>IF(Table1[[#This Row],[taxable wages]]&gt;obamacare_surcharge_amount,obamacare_surcharge_percent*(Table1[[#This Row],[taxable wages]]-obamacare_surcharge_amount),0)</f>
        <v>0</v>
      </c>
      <c r="Z379" s="9">
        <f>Table1[[#This Row],[Federal Taxes Owed (Includes AMT)]]+Table1[[#This Row],[Obamacare surcharge premium]]</f>
        <v>22105</v>
      </c>
      <c r="AA379" s="9">
        <f>Table1[[#This Row],[taxable wages]]-Table1[[#This Row],[Federal Taxes Owed2]]</f>
        <v>148895</v>
      </c>
      <c r="AB379" s="51">
        <f t="shared" si="36"/>
        <v>0.3</v>
      </c>
      <c r="AC379" s="41"/>
      <c r="AD379" s="13"/>
      <c r="AE379" s="13"/>
    </row>
    <row r="380" spans="2:31" x14ac:dyDescent="0.3">
      <c r="B380" s="41">
        <f t="shared" si="37"/>
        <v>171500</v>
      </c>
      <c r="C380" s="1">
        <f>Table1[[#This Row],[taxable wages]]</f>
        <v>171500</v>
      </c>
      <c r="D380" s="1">
        <f>Table1[[#This Row],[taxable wages]]+interest+dividends+short_term_capital_gains+long_term_capital_gains</f>
        <v>171500</v>
      </c>
      <c r="E380" s="1">
        <f>MAX(Table1[[#This Row],[earned income for EITC]:[Agi For Eitc Calc]])</f>
        <v>171500</v>
      </c>
      <c r="F380" s="1">
        <f>Table1[[#This Row],[taxable wages]]+interest+dividends+short_term_capital_gains+long_term_capital_gains-(trad_ira_contributions+MIN(student_loan_interest_cap,student_loan_interest))</f>
        <v>171500</v>
      </c>
      <c r="G380" s="1">
        <f t="shared" si="33"/>
        <v>12600</v>
      </c>
      <c r="H380" s="1">
        <f t="shared" si="34"/>
        <v>28350</v>
      </c>
      <c r="I380" s="1">
        <f>MAX(0,Table1[[#This Row],[Agi]]-Table1[[#This Row],[Exemptions]]-Table1[[#This Row],[Effective Deductions]])</f>
        <v>130550</v>
      </c>
      <c r="J3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24180</v>
      </c>
      <c r="K380" s="1">
        <f t="shared" si="35"/>
        <v>5000</v>
      </c>
      <c r="L380" s="1">
        <f>IF(Table1[[#This Row],[Agi]]&gt;ctc_phase_out_begins,ctc_phase_out_rate*(Table1[[#This Row],[Agi]]-ctc_phase_out_begins),0)</f>
        <v>3075</v>
      </c>
      <c r="M380" s="1">
        <f>MAX(Table1[[#This Row],[Child Tax Credit]]-Table1[[#This Row],[Child Tax Credit Phase Out]],0)</f>
        <v>1925</v>
      </c>
      <c r="N380" s="1">
        <f>MAX(Table1[[#This Row],[Regular Taxes Owed]]-Table1[[#This Row],[Effective Child Tax Credit]],0)</f>
        <v>22255</v>
      </c>
      <c r="O380" s="1">
        <f>MAX(MIN((Table1[[#This Row],[taxable wages]]-3000)*0.15,1000*num_kids_16_younger),0)</f>
        <v>5000</v>
      </c>
      <c r="P380" s="9">
        <f>IF(Table1[[#This Row],[Effective Child Tax Credit]]&gt;Table1[[#This Row],[Regular Taxes Owed]],Table1[[#This Row],[Additional Child Tax Credit ]]-Table1[[#This Row],[Regular Taxes Owed]],0)</f>
        <v>0</v>
      </c>
      <c r="Q3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0" s="1">
        <f>Table1[[#This Row],[Effective Additional Child Tax Credit]]+Table1[[#This Row],[Eitc]]</f>
        <v>0</v>
      </c>
      <c r="S380" s="9">
        <f>Table1[[#This Row],[Regular Taxes Owed - Effective Child Tax Credit]]-Table1[[#This Row],[Total Credits]]</f>
        <v>22255</v>
      </c>
      <c r="T380" s="9">
        <f>Table1[[#This Row],[taxable wages]]+interest+dividends+short_term_capital_gains+long_term_capital_gains-(charitable_donations+mortgage_interest)</f>
        <v>171500</v>
      </c>
      <c r="U380" s="9">
        <f>MAX(amt_exemption-amt_exemption_phase_out_rate*MAX(Table1[[#This Row],[taxable wages]]-amt_phase_out_begins,0),0)</f>
        <v>80850</v>
      </c>
      <c r="V3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23569</v>
      </c>
      <c r="W380" s="1">
        <f>IF(AND(Table1[[#This Row],[AMT Taxes]]&gt;Table1[[#This Row],[Regular Taxes Owed]],Table1[[#This Row],[AMT Taxes]]&gt;0),Table1[[#This Row],[AMT Taxes]]-Table1[[#This Row],[Regular Taxes Owed]],0)</f>
        <v>0</v>
      </c>
      <c r="X380" s="9">
        <f>Table1[[#This Row],[Extra Taxes From Amt]]+Table1[[#This Row],[Federal Taxes Owed (No AMT)]]</f>
        <v>22255</v>
      </c>
      <c r="Y380" s="9">
        <f>IF(Table1[[#This Row],[taxable wages]]&gt;obamacare_surcharge_amount,obamacare_surcharge_percent*(Table1[[#This Row],[taxable wages]]-obamacare_surcharge_amount),0)</f>
        <v>0</v>
      </c>
      <c r="Z380" s="9">
        <f>Table1[[#This Row],[Federal Taxes Owed (Includes AMT)]]+Table1[[#This Row],[Obamacare surcharge premium]]</f>
        <v>22255</v>
      </c>
      <c r="AA380" s="9">
        <f>Table1[[#This Row],[taxable wages]]-Table1[[#This Row],[Federal Taxes Owed2]]</f>
        <v>149245</v>
      </c>
      <c r="AB380" s="51">
        <f t="shared" si="36"/>
        <v>0.3</v>
      </c>
      <c r="AC380" s="41"/>
      <c r="AD380" s="13"/>
      <c r="AE380" s="13"/>
    </row>
    <row r="381" spans="2:31" x14ac:dyDescent="0.3">
      <c r="B381" s="41">
        <f t="shared" si="37"/>
        <v>172000</v>
      </c>
      <c r="C381" s="1">
        <f>Table1[[#This Row],[taxable wages]]</f>
        <v>172000</v>
      </c>
      <c r="D381" s="1">
        <f>Table1[[#This Row],[taxable wages]]+interest+dividends+short_term_capital_gains+long_term_capital_gains</f>
        <v>172000</v>
      </c>
      <c r="E381" s="1">
        <f>MAX(Table1[[#This Row],[earned income for EITC]:[Agi For Eitc Calc]])</f>
        <v>172000</v>
      </c>
      <c r="F381" s="1">
        <f>Table1[[#This Row],[taxable wages]]+interest+dividends+short_term_capital_gains+long_term_capital_gains-(trad_ira_contributions+MIN(student_loan_interest_cap,student_loan_interest))</f>
        <v>172000</v>
      </c>
      <c r="G381" s="1">
        <f t="shared" si="33"/>
        <v>12600</v>
      </c>
      <c r="H381" s="1">
        <f t="shared" si="34"/>
        <v>28350</v>
      </c>
      <c r="I381" s="1">
        <f>MAX(0,Table1[[#This Row],[Agi]]-Table1[[#This Row],[Exemptions]]-Table1[[#This Row],[Effective Deductions]])</f>
        <v>131050</v>
      </c>
      <c r="J3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24305</v>
      </c>
      <c r="K381" s="1">
        <f t="shared" si="35"/>
        <v>5000</v>
      </c>
      <c r="L381" s="1">
        <f>IF(Table1[[#This Row],[Agi]]&gt;ctc_phase_out_begins,ctc_phase_out_rate*(Table1[[#This Row],[Agi]]-ctc_phase_out_begins),0)</f>
        <v>3100</v>
      </c>
      <c r="M381" s="1">
        <f>MAX(Table1[[#This Row],[Child Tax Credit]]-Table1[[#This Row],[Child Tax Credit Phase Out]],0)</f>
        <v>1900</v>
      </c>
      <c r="N381" s="1">
        <f>MAX(Table1[[#This Row],[Regular Taxes Owed]]-Table1[[#This Row],[Effective Child Tax Credit]],0)</f>
        <v>22405</v>
      </c>
      <c r="O381" s="1">
        <f>MAX(MIN((Table1[[#This Row],[taxable wages]]-3000)*0.15,1000*num_kids_16_younger),0)</f>
        <v>5000</v>
      </c>
      <c r="P381" s="9">
        <f>IF(Table1[[#This Row],[Effective Child Tax Credit]]&gt;Table1[[#This Row],[Regular Taxes Owed]],Table1[[#This Row],[Additional Child Tax Credit ]]-Table1[[#This Row],[Regular Taxes Owed]],0)</f>
        <v>0</v>
      </c>
      <c r="Q3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1" s="1">
        <f>Table1[[#This Row],[Effective Additional Child Tax Credit]]+Table1[[#This Row],[Eitc]]</f>
        <v>0</v>
      </c>
      <c r="S381" s="9">
        <f>Table1[[#This Row],[Regular Taxes Owed - Effective Child Tax Credit]]-Table1[[#This Row],[Total Credits]]</f>
        <v>22405</v>
      </c>
      <c r="T381" s="9">
        <f>Table1[[#This Row],[taxable wages]]+interest+dividends+short_term_capital_gains+long_term_capital_gains-(charitable_donations+mortgage_interest)</f>
        <v>172000</v>
      </c>
      <c r="U381" s="9">
        <f>MAX(amt_exemption-amt_exemption_phase_out_rate*MAX(Table1[[#This Row],[taxable wages]]-amt_phase_out_begins,0),0)</f>
        <v>80725</v>
      </c>
      <c r="V3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23731.5</v>
      </c>
      <c r="W381" s="1">
        <f>IF(AND(Table1[[#This Row],[AMT Taxes]]&gt;Table1[[#This Row],[Regular Taxes Owed]],Table1[[#This Row],[AMT Taxes]]&gt;0),Table1[[#This Row],[AMT Taxes]]-Table1[[#This Row],[Regular Taxes Owed]],0)</f>
        <v>0</v>
      </c>
      <c r="X381" s="9">
        <f>Table1[[#This Row],[Extra Taxes From Amt]]+Table1[[#This Row],[Federal Taxes Owed (No AMT)]]</f>
        <v>22405</v>
      </c>
      <c r="Y381" s="9">
        <f>IF(Table1[[#This Row],[taxable wages]]&gt;obamacare_surcharge_amount,obamacare_surcharge_percent*(Table1[[#This Row],[taxable wages]]-obamacare_surcharge_amount),0)</f>
        <v>0</v>
      </c>
      <c r="Z381" s="9">
        <f>Table1[[#This Row],[Federal Taxes Owed (Includes AMT)]]+Table1[[#This Row],[Obamacare surcharge premium]]</f>
        <v>22405</v>
      </c>
      <c r="AA381" s="9">
        <f>Table1[[#This Row],[taxable wages]]-Table1[[#This Row],[Federal Taxes Owed2]]</f>
        <v>149595</v>
      </c>
      <c r="AB381" s="51">
        <f t="shared" si="36"/>
        <v>0.3</v>
      </c>
      <c r="AC381" s="41"/>
      <c r="AD381" s="13"/>
      <c r="AE381" s="13"/>
    </row>
    <row r="382" spans="2:31" x14ac:dyDescent="0.3">
      <c r="B382" s="41">
        <f t="shared" si="37"/>
        <v>172500</v>
      </c>
      <c r="C382" s="1">
        <f>Table1[[#This Row],[taxable wages]]</f>
        <v>172500</v>
      </c>
      <c r="D382" s="1">
        <f>Table1[[#This Row],[taxable wages]]+interest+dividends+short_term_capital_gains+long_term_capital_gains</f>
        <v>172500</v>
      </c>
      <c r="E382" s="1">
        <f>MAX(Table1[[#This Row],[earned income for EITC]:[Agi For Eitc Calc]])</f>
        <v>172500</v>
      </c>
      <c r="F382" s="1">
        <f>Table1[[#This Row],[taxable wages]]+interest+dividends+short_term_capital_gains+long_term_capital_gains-(trad_ira_contributions+MIN(student_loan_interest_cap,student_loan_interest))</f>
        <v>172500</v>
      </c>
      <c r="G382" s="1">
        <f t="shared" si="33"/>
        <v>12600</v>
      </c>
      <c r="H382" s="1">
        <f t="shared" si="34"/>
        <v>28350</v>
      </c>
      <c r="I382" s="1">
        <f>MAX(0,Table1[[#This Row],[Agi]]-Table1[[#This Row],[Exemptions]]-Table1[[#This Row],[Effective Deductions]])</f>
        <v>131550</v>
      </c>
      <c r="J3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24430</v>
      </c>
      <c r="K382" s="1">
        <f t="shared" si="35"/>
        <v>5000</v>
      </c>
      <c r="L382" s="1">
        <f>IF(Table1[[#This Row],[Agi]]&gt;ctc_phase_out_begins,ctc_phase_out_rate*(Table1[[#This Row],[Agi]]-ctc_phase_out_begins),0)</f>
        <v>3125</v>
      </c>
      <c r="M382" s="1">
        <f>MAX(Table1[[#This Row],[Child Tax Credit]]-Table1[[#This Row],[Child Tax Credit Phase Out]],0)</f>
        <v>1875</v>
      </c>
      <c r="N382" s="1">
        <f>MAX(Table1[[#This Row],[Regular Taxes Owed]]-Table1[[#This Row],[Effective Child Tax Credit]],0)</f>
        <v>22555</v>
      </c>
      <c r="O382" s="1">
        <f>MAX(MIN((Table1[[#This Row],[taxable wages]]-3000)*0.15,1000*num_kids_16_younger),0)</f>
        <v>5000</v>
      </c>
      <c r="P382" s="9">
        <f>IF(Table1[[#This Row],[Effective Child Tax Credit]]&gt;Table1[[#This Row],[Regular Taxes Owed]],Table1[[#This Row],[Additional Child Tax Credit ]]-Table1[[#This Row],[Regular Taxes Owed]],0)</f>
        <v>0</v>
      </c>
      <c r="Q3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2" s="1">
        <f>Table1[[#This Row],[Effective Additional Child Tax Credit]]+Table1[[#This Row],[Eitc]]</f>
        <v>0</v>
      </c>
      <c r="S382" s="9">
        <f>Table1[[#This Row],[Regular Taxes Owed - Effective Child Tax Credit]]-Table1[[#This Row],[Total Credits]]</f>
        <v>22555</v>
      </c>
      <c r="T382" s="9">
        <f>Table1[[#This Row],[taxable wages]]+interest+dividends+short_term_capital_gains+long_term_capital_gains-(charitable_donations+mortgage_interest)</f>
        <v>172500</v>
      </c>
      <c r="U382" s="9">
        <f>MAX(amt_exemption-amt_exemption_phase_out_rate*MAX(Table1[[#This Row],[taxable wages]]-amt_phase_out_begins,0),0)</f>
        <v>80600</v>
      </c>
      <c r="V3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23894</v>
      </c>
      <c r="W382" s="1">
        <f>IF(AND(Table1[[#This Row],[AMT Taxes]]&gt;Table1[[#This Row],[Regular Taxes Owed]],Table1[[#This Row],[AMT Taxes]]&gt;0),Table1[[#This Row],[AMT Taxes]]-Table1[[#This Row],[Regular Taxes Owed]],0)</f>
        <v>0</v>
      </c>
      <c r="X382" s="9">
        <f>Table1[[#This Row],[Extra Taxes From Amt]]+Table1[[#This Row],[Federal Taxes Owed (No AMT)]]</f>
        <v>22555</v>
      </c>
      <c r="Y382" s="9">
        <f>IF(Table1[[#This Row],[taxable wages]]&gt;obamacare_surcharge_amount,obamacare_surcharge_percent*(Table1[[#This Row],[taxable wages]]-obamacare_surcharge_amount),0)</f>
        <v>0</v>
      </c>
      <c r="Z382" s="9">
        <f>Table1[[#This Row],[Federal Taxes Owed (Includes AMT)]]+Table1[[#This Row],[Obamacare surcharge premium]]</f>
        <v>22555</v>
      </c>
      <c r="AA382" s="9">
        <f>Table1[[#This Row],[taxable wages]]-Table1[[#This Row],[Federal Taxes Owed2]]</f>
        <v>149945</v>
      </c>
      <c r="AB382" s="51">
        <f t="shared" si="36"/>
        <v>0.3</v>
      </c>
      <c r="AC382" s="41"/>
      <c r="AD382" s="13"/>
      <c r="AE382" s="13"/>
    </row>
    <row r="383" spans="2:31" x14ac:dyDescent="0.3">
      <c r="B383" s="41">
        <f t="shared" si="37"/>
        <v>173000</v>
      </c>
      <c r="C383" s="1">
        <f>Table1[[#This Row],[taxable wages]]</f>
        <v>173000</v>
      </c>
      <c r="D383" s="1">
        <f>Table1[[#This Row],[taxable wages]]+interest+dividends+short_term_capital_gains+long_term_capital_gains</f>
        <v>173000</v>
      </c>
      <c r="E383" s="1">
        <f>MAX(Table1[[#This Row],[earned income for EITC]:[Agi For Eitc Calc]])</f>
        <v>173000</v>
      </c>
      <c r="F383" s="1">
        <f>Table1[[#This Row],[taxable wages]]+interest+dividends+short_term_capital_gains+long_term_capital_gains-(trad_ira_contributions+MIN(student_loan_interest_cap,student_loan_interest))</f>
        <v>173000</v>
      </c>
      <c r="G383" s="1">
        <f t="shared" si="33"/>
        <v>12600</v>
      </c>
      <c r="H383" s="1">
        <f t="shared" si="34"/>
        <v>28350</v>
      </c>
      <c r="I383" s="1">
        <f>MAX(0,Table1[[#This Row],[Agi]]-Table1[[#This Row],[Exemptions]]-Table1[[#This Row],[Effective Deductions]])</f>
        <v>132050</v>
      </c>
      <c r="J3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24555</v>
      </c>
      <c r="K383" s="1">
        <f t="shared" si="35"/>
        <v>5000</v>
      </c>
      <c r="L383" s="1">
        <f>IF(Table1[[#This Row],[Agi]]&gt;ctc_phase_out_begins,ctc_phase_out_rate*(Table1[[#This Row],[Agi]]-ctc_phase_out_begins),0)</f>
        <v>3150</v>
      </c>
      <c r="M383" s="1">
        <f>MAX(Table1[[#This Row],[Child Tax Credit]]-Table1[[#This Row],[Child Tax Credit Phase Out]],0)</f>
        <v>1850</v>
      </c>
      <c r="N383" s="1">
        <f>MAX(Table1[[#This Row],[Regular Taxes Owed]]-Table1[[#This Row],[Effective Child Tax Credit]],0)</f>
        <v>22705</v>
      </c>
      <c r="O383" s="1">
        <f>MAX(MIN((Table1[[#This Row],[taxable wages]]-3000)*0.15,1000*num_kids_16_younger),0)</f>
        <v>5000</v>
      </c>
      <c r="P383" s="9">
        <f>IF(Table1[[#This Row],[Effective Child Tax Credit]]&gt;Table1[[#This Row],[Regular Taxes Owed]],Table1[[#This Row],[Additional Child Tax Credit ]]-Table1[[#This Row],[Regular Taxes Owed]],0)</f>
        <v>0</v>
      </c>
      <c r="Q3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3" s="1">
        <f>Table1[[#This Row],[Effective Additional Child Tax Credit]]+Table1[[#This Row],[Eitc]]</f>
        <v>0</v>
      </c>
      <c r="S383" s="9">
        <f>Table1[[#This Row],[Regular Taxes Owed - Effective Child Tax Credit]]-Table1[[#This Row],[Total Credits]]</f>
        <v>22705</v>
      </c>
      <c r="T383" s="9">
        <f>Table1[[#This Row],[taxable wages]]+interest+dividends+short_term_capital_gains+long_term_capital_gains-(charitable_donations+mortgage_interest)</f>
        <v>173000</v>
      </c>
      <c r="U383" s="9">
        <f>MAX(amt_exemption-amt_exemption_phase_out_rate*MAX(Table1[[#This Row],[taxable wages]]-amt_phase_out_begins,0),0)</f>
        <v>80475</v>
      </c>
      <c r="V3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24056.5</v>
      </c>
      <c r="W383" s="1">
        <f>IF(AND(Table1[[#This Row],[AMT Taxes]]&gt;Table1[[#This Row],[Regular Taxes Owed]],Table1[[#This Row],[AMT Taxes]]&gt;0),Table1[[#This Row],[AMT Taxes]]-Table1[[#This Row],[Regular Taxes Owed]],0)</f>
        <v>0</v>
      </c>
      <c r="X383" s="9">
        <f>Table1[[#This Row],[Extra Taxes From Amt]]+Table1[[#This Row],[Federal Taxes Owed (No AMT)]]</f>
        <v>22705</v>
      </c>
      <c r="Y383" s="9">
        <f>IF(Table1[[#This Row],[taxable wages]]&gt;obamacare_surcharge_amount,obamacare_surcharge_percent*(Table1[[#This Row],[taxable wages]]-obamacare_surcharge_amount),0)</f>
        <v>0</v>
      </c>
      <c r="Z383" s="9">
        <f>Table1[[#This Row],[Federal Taxes Owed (Includes AMT)]]+Table1[[#This Row],[Obamacare surcharge premium]]</f>
        <v>22705</v>
      </c>
      <c r="AA383" s="9">
        <f>Table1[[#This Row],[taxable wages]]-Table1[[#This Row],[Federal Taxes Owed2]]</f>
        <v>150295</v>
      </c>
      <c r="AB383" s="51">
        <f t="shared" si="36"/>
        <v>0.3</v>
      </c>
      <c r="AC383" s="41"/>
      <c r="AD383" s="13"/>
      <c r="AE383" s="13"/>
    </row>
    <row r="384" spans="2:31" x14ac:dyDescent="0.3">
      <c r="B384" s="41">
        <f t="shared" si="37"/>
        <v>173500</v>
      </c>
      <c r="C384" s="1">
        <f>Table1[[#This Row],[taxable wages]]</f>
        <v>173500</v>
      </c>
      <c r="D384" s="1">
        <f>Table1[[#This Row],[taxable wages]]+interest+dividends+short_term_capital_gains+long_term_capital_gains</f>
        <v>173500</v>
      </c>
      <c r="E384" s="1">
        <f>MAX(Table1[[#This Row],[earned income for EITC]:[Agi For Eitc Calc]])</f>
        <v>173500</v>
      </c>
      <c r="F384" s="1">
        <f>Table1[[#This Row],[taxable wages]]+interest+dividends+short_term_capital_gains+long_term_capital_gains-(trad_ira_contributions+MIN(student_loan_interest_cap,student_loan_interest))</f>
        <v>173500</v>
      </c>
      <c r="G384" s="1">
        <f t="shared" si="33"/>
        <v>12600</v>
      </c>
      <c r="H384" s="1">
        <f t="shared" si="34"/>
        <v>28350</v>
      </c>
      <c r="I384" s="1">
        <f>MAX(0,Table1[[#This Row],[Agi]]-Table1[[#This Row],[Exemptions]]-Table1[[#This Row],[Effective Deductions]])</f>
        <v>132550</v>
      </c>
      <c r="J3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24680</v>
      </c>
      <c r="K384" s="1">
        <f t="shared" si="35"/>
        <v>5000</v>
      </c>
      <c r="L384" s="1">
        <f>IF(Table1[[#This Row],[Agi]]&gt;ctc_phase_out_begins,ctc_phase_out_rate*(Table1[[#This Row],[Agi]]-ctc_phase_out_begins),0)</f>
        <v>3175</v>
      </c>
      <c r="M384" s="1">
        <f>MAX(Table1[[#This Row],[Child Tax Credit]]-Table1[[#This Row],[Child Tax Credit Phase Out]],0)</f>
        <v>1825</v>
      </c>
      <c r="N384" s="1">
        <f>MAX(Table1[[#This Row],[Regular Taxes Owed]]-Table1[[#This Row],[Effective Child Tax Credit]],0)</f>
        <v>22855</v>
      </c>
      <c r="O384" s="1">
        <f>MAX(MIN((Table1[[#This Row],[taxable wages]]-3000)*0.15,1000*num_kids_16_younger),0)</f>
        <v>5000</v>
      </c>
      <c r="P384" s="9">
        <f>IF(Table1[[#This Row],[Effective Child Tax Credit]]&gt;Table1[[#This Row],[Regular Taxes Owed]],Table1[[#This Row],[Additional Child Tax Credit ]]-Table1[[#This Row],[Regular Taxes Owed]],0)</f>
        <v>0</v>
      </c>
      <c r="Q3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4" s="1">
        <f>Table1[[#This Row],[Effective Additional Child Tax Credit]]+Table1[[#This Row],[Eitc]]</f>
        <v>0</v>
      </c>
      <c r="S384" s="9">
        <f>Table1[[#This Row],[Regular Taxes Owed - Effective Child Tax Credit]]-Table1[[#This Row],[Total Credits]]</f>
        <v>22855</v>
      </c>
      <c r="T384" s="9">
        <f>Table1[[#This Row],[taxable wages]]+interest+dividends+short_term_capital_gains+long_term_capital_gains-(charitable_donations+mortgage_interest)</f>
        <v>173500</v>
      </c>
      <c r="U384" s="9">
        <f>MAX(amt_exemption-amt_exemption_phase_out_rate*MAX(Table1[[#This Row],[taxable wages]]-amt_phase_out_begins,0),0)</f>
        <v>80350</v>
      </c>
      <c r="V3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24219</v>
      </c>
      <c r="W384" s="1">
        <f>IF(AND(Table1[[#This Row],[AMT Taxes]]&gt;Table1[[#This Row],[Regular Taxes Owed]],Table1[[#This Row],[AMT Taxes]]&gt;0),Table1[[#This Row],[AMT Taxes]]-Table1[[#This Row],[Regular Taxes Owed]],0)</f>
        <v>0</v>
      </c>
      <c r="X384" s="9">
        <f>Table1[[#This Row],[Extra Taxes From Amt]]+Table1[[#This Row],[Federal Taxes Owed (No AMT)]]</f>
        <v>22855</v>
      </c>
      <c r="Y384" s="9">
        <f>IF(Table1[[#This Row],[taxable wages]]&gt;obamacare_surcharge_amount,obamacare_surcharge_percent*(Table1[[#This Row],[taxable wages]]-obamacare_surcharge_amount),0)</f>
        <v>0</v>
      </c>
      <c r="Z384" s="9">
        <f>Table1[[#This Row],[Federal Taxes Owed (Includes AMT)]]+Table1[[#This Row],[Obamacare surcharge premium]]</f>
        <v>22855</v>
      </c>
      <c r="AA384" s="9">
        <f>Table1[[#This Row],[taxable wages]]-Table1[[#This Row],[Federal Taxes Owed2]]</f>
        <v>150645</v>
      </c>
      <c r="AB384" s="51">
        <f t="shared" si="36"/>
        <v>0.3</v>
      </c>
      <c r="AC384" s="41"/>
      <c r="AD384" s="13"/>
      <c r="AE384" s="13"/>
    </row>
    <row r="385" spans="2:31" x14ac:dyDescent="0.3">
      <c r="B385" s="41">
        <f t="shared" si="37"/>
        <v>174000</v>
      </c>
      <c r="C385" s="1">
        <f>Table1[[#This Row],[taxable wages]]</f>
        <v>174000</v>
      </c>
      <c r="D385" s="1">
        <f>Table1[[#This Row],[taxable wages]]+interest+dividends+short_term_capital_gains+long_term_capital_gains</f>
        <v>174000</v>
      </c>
      <c r="E385" s="1">
        <f>MAX(Table1[[#This Row],[earned income for EITC]:[Agi For Eitc Calc]])</f>
        <v>174000</v>
      </c>
      <c r="F385" s="1">
        <f>Table1[[#This Row],[taxable wages]]+interest+dividends+short_term_capital_gains+long_term_capital_gains-(trad_ira_contributions+MIN(student_loan_interest_cap,student_loan_interest))</f>
        <v>174000</v>
      </c>
      <c r="G385" s="1">
        <f t="shared" si="33"/>
        <v>12600</v>
      </c>
      <c r="H385" s="1">
        <f t="shared" si="34"/>
        <v>28350</v>
      </c>
      <c r="I385" s="1">
        <f>MAX(0,Table1[[#This Row],[Agi]]-Table1[[#This Row],[Exemptions]]-Table1[[#This Row],[Effective Deductions]])</f>
        <v>133050</v>
      </c>
      <c r="J3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24805</v>
      </c>
      <c r="K385" s="1">
        <f t="shared" si="35"/>
        <v>5000</v>
      </c>
      <c r="L385" s="1">
        <f>IF(Table1[[#This Row],[Agi]]&gt;ctc_phase_out_begins,ctc_phase_out_rate*(Table1[[#This Row],[Agi]]-ctc_phase_out_begins),0)</f>
        <v>3200</v>
      </c>
      <c r="M385" s="1">
        <f>MAX(Table1[[#This Row],[Child Tax Credit]]-Table1[[#This Row],[Child Tax Credit Phase Out]],0)</f>
        <v>1800</v>
      </c>
      <c r="N385" s="1">
        <f>MAX(Table1[[#This Row],[Regular Taxes Owed]]-Table1[[#This Row],[Effective Child Tax Credit]],0)</f>
        <v>23005</v>
      </c>
      <c r="O385" s="1">
        <f>MAX(MIN((Table1[[#This Row],[taxable wages]]-3000)*0.15,1000*num_kids_16_younger),0)</f>
        <v>5000</v>
      </c>
      <c r="P385" s="9">
        <f>IF(Table1[[#This Row],[Effective Child Tax Credit]]&gt;Table1[[#This Row],[Regular Taxes Owed]],Table1[[#This Row],[Additional Child Tax Credit ]]-Table1[[#This Row],[Regular Taxes Owed]],0)</f>
        <v>0</v>
      </c>
      <c r="Q3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5" s="1">
        <f>Table1[[#This Row],[Effective Additional Child Tax Credit]]+Table1[[#This Row],[Eitc]]</f>
        <v>0</v>
      </c>
      <c r="S385" s="9">
        <f>Table1[[#This Row],[Regular Taxes Owed - Effective Child Tax Credit]]-Table1[[#This Row],[Total Credits]]</f>
        <v>23005</v>
      </c>
      <c r="T385" s="9">
        <f>Table1[[#This Row],[taxable wages]]+interest+dividends+short_term_capital_gains+long_term_capital_gains-(charitable_donations+mortgage_interest)</f>
        <v>174000</v>
      </c>
      <c r="U385" s="9">
        <f>MAX(amt_exemption-amt_exemption_phase_out_rate*MAX(Table1[[#This Row],[taxable wages]]-amt_phase_out_begins,0),0)</f>
        <v>80225</v>
      </c>
      <c r="V3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24381.5</v>
      </c>
      <c r="W385" s="1">
        <f>IF(AND(Table1[[#This Row],[AMT Taxes]]&gt;Table1[[#This Row],[Regular Taxes Owed]],Table1[[#This Row],[AMT Taxes]]&gt;0),Table1[[#This Row],[AMT Taxes]]-Table1[[#This Row],[Regular Taxes Owed]],0)</f>
        <v>0</v>
      </c>
      <c r="X385" s="9">
        <f>Table1[[#This Row],[Extra Taxes From Amt]]+Table1[[#This Row],[Federal Taxes Owed (No AMT)]]</f>
        <v>23005</v>
      </c>
      <c r="Y385" s="9">
        <f>IF(Table1[[#This Row],[taxable wages]]&gt;obamacare_surcharge_amount,obamacare_surcharge_percent*(Table1[[#This Row],[taxable wages]]-obamacare_surcharge_amount),0)</f>
        <v>0</v>
      </c>
      <c r="Z385" s="9">
        <f>Table1[[#This Row],[Federal Taxes Owed (Includes AMT)]]+Table1[[#This Row],[Obamacare surcharge premium]]</f>
        <v>23005</v>
      </c>
      <c r="AA385" s="9">
        <f>Table1[[#This Row],[taxable wages]]-Table1[[#This Row],[Federal Taxes Owed2]]</f>
        <v>150995</v>
      </c>
      <c r="AB385" s="51">
        <f t="shared" si="36"/>
        <v>0.3</v>
      </c>
      <c r="AC385" s="41"/>
      <c r="AD385" s="13"/>
      <c r="AE385" s="13"/>
    </row>
    <row r="386" spans="2:31" x14ac:dyDescent="0.3">
      <c r="B386" s="41">
        <f t="shared" si="37"/>
        <v>174500</v>
      </c>
      <c r="C386" s="1">
        <f>Table1[[#This Row],[taxable wages]]</f>
        <v>174500</v>
      </c>
      <c r="D386" s="1">
        <f>Table1[[#This Row],[taxable wages]]+interest+dividends+short_term_capital_gains+long_term_capital_gains</f>
        <v>174500</v>
      </c>
      <c r="E386" s="1">
        <f>MAX(Table1[[#This Row],[earned income for EITC]:[Agi For Eitc Calc]])</f>
        <v>174500</v>
      </c>
      <c r="F386" s="1">
        <f>Table1[[#This Row],[taxable wages]]+interest+dividends+short_term_capital_gains+long_term_capital_gains-(trad_ira_contributions+MIN(student_loan_interest_cap,student_loan_interest))</f>
        <v>174500</v>
      </c>
      <c r="G386" s="1">
        <f t="shared" si="33"/>
        <v>12600</v>
      </c>
      <c r="H386" s="1">
        <f t="shared" si="34"/>
        <v>28350</v>
      </c>
      <c r="I386" s="1">
        <f>MAX(0,Table1[[#This Row],[Agi]]-Table1[[#This Row],[Exemptions]]-Table1[[#This Row],[Effective Deductions]])</f>
        <v>133550</v>
      </c>
      <c r="J3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24930</v>
      </c>
      <c r="K386" s="1">
        <f t="shared" si="35"/>
        <v>5000</v>
      </c>
      <c r="L386" s="1">
        <f>IF(Table1[[#This Row],[Agi]]&gt;ctc_phase_out_begins,ctc_phase_out_rate*(Table1[[#This Row],[Agi]]-ctc_phase_out_begins),0)</f>
        <v>3225</v>
      </c>
      <c r="M386" s="1">
        <f>MAX(Table1[[#This Row],[Child Tax Credit]]-Table1[[#This Row],[Child Tax Credit Phase Out]],0)</f>
        <v>1775</v>
      </c>
      <c r="N386" s="1">
        <f>MAX(Table1[[#This Row],[Regular Taxes Owed]]-Table1[[#This Row],[Effective Child Tax Credit]],0)</f>
        <v>23155</v>
      </c>
      <c r="O386" s="1">
        <f>MAX(MIN((Table1[[#This Row],[taxable wages]]-3000)*0.15,1000*num_kids_16_younger),0)</f>
        <v>5000</v>
      </c>
      <c r="P386" s="9">
        <f>IF(Table1[[#This Row],[Effective Child Tax Credit]]&gt;Table1[[#This Row],[Regular Taxes Owed]],Table1[[#This Row],[Additional Child Tax Credit ]]-Table1[[#This Row],[Regular Taxes Owed]],0)</f>
        <v>0</v>
      </c>
      <c r="Q3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6" s="1">
        <f>Table1[[#This Row],[Effective Additional Child Tax Credit]]+Table1[[#This Row],[Eitc]]</f>
        <v>0</v>
      </c>
      <c r="S386" s="9">
        <f>Table1[[#This Row],[Regular Taxes Owed - Effective Child Tax Credit]]-Table1[[#This Row],[Total Credits]]</f>
        <v>23155</v>
      </c>
      <c r="T386" s="9">
        <f>Table1[[#This Row],[taxable wages]]+interest+dividends+short_term_capital_gains+long_term_capital_gains-(charitable_donations+mortgage_interest)</f>
        <v>174500</v>
      </c>
      <c r="U386" s="9">
        <f>MAX(amt_exemption-amt_exemption_phase_out_rate*MAX(Table1[[#This Row],[taxable wages]]-amt_phase_out_begins,0),0)</f>
        <v>80100</v>
      </c>
      <c r="V3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24544</v>
      </c>
      <c r="W386" s="1">
        <f>IF(AND(Table1[[#This Row],[AMT Taxes]]&gt;Table1[[#This Row],[Regular Taxes Owed]],Table1[[#This Row],[AMT Taxes]]&gt;0),Table1[[#This Row],[AMT Taxes]]-Table1[[#This Row],[Regular Taxes Owed]],0)</f>
        <v>0</v>
      </c>
      <c r="X386" s="9">
        <f>Table1[[#This Row],[Extra Taxes From Amt]]+Table1[[#This Row],[Federal Taxes Owed (No AMT)]]</f>
        <v>23155</v>
      </c>
      <c r="Y386" s="9">
        <f>IF(Table1[[#This Row],[taxable wages]]&gt;obamacare_surcharge_amount,obamacare_surcharge_percent*(Table1[[#This Row],[taxable wages]]-obamacare_surcharge_amount),0)</f>
        <v>0</v>
      </c>
      <c r="Z386" s="9">
        <f>Table1[[#This Row],[Federal Taxes Owed (Includes AMT)]]+Table1[[#This Row],[Obamacare surcharge premium]]</f>
        <v>23155</v>
      </c>
      <c r="AA386" s="9">
        <f>Table1[[#This Row],[taxable wages]]-Table1[[#This Row],[Federal Taxes Owed2]]</f>
        <v>151345</v>
      </c>
      <c r="AB386" s="51">
        <f t="shared" si="36"/>
        <v>0.3</v>
      </c>
      <c r="AC386" s="41"/>
      <c r="AD386" s="13"/>
      <c r="AE386" s="13"/>
    </row>
    <row r="387" spans="2:31" x14ac:dyDescent="0.3">
      <c r="B387" s="41">
        <f t="shared" si="37"/>
        <v>175000</v>
      </c>
      <c r="C387" s="1">
        <f>Table1[[#This Row],[taxable wages]]</f>
        <v>175000</v>
      </c>
      <c r="D387" s="1">
        <f>Table1[[#This Row],[taxable wages]]+interest+dividends+short_term_capital_gains+long_term_capital_gains</f>
        <v>175000</v>
      </c>
      <c r="E387" s="1">
        <f>MAX(Table1[[#This Row],[earned income for EITC]:[Agi For Eitc Calc]])</f>
        <v>175000</v>
      </c>
      <c r="F387" s="1">
        <f>Table1[[#This Row],[taxable wages]]+interest+dividends+short_term_capital_gains+long_term_capital_gains-(trad_ira_contributions+MIN(student_loan_interest_cap,student_loan_interest))</f>
        <v>175000</v>
      </c>
      <c r="G387" s="1">
        <f t="shared" si="33"/>
        <v>12600</v>
      </c>
      <c r="H387" s="1">
        <f t="shared" si="34"/>
        <v>28350</v>
      </c>
      <c r="I387" s="1">
        <f>MAX(0,Table1[[#This Row],[Agi]]-Table1[[#This Row],[Exemptions]]-Table1[[#This Row],[Effective Deductions]])</f>
        <v>134050</v>
      </c>
      <c r="J3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25055</v>
      </c>
      <c r="K387" s="1">
        <f t="shared" si="35"/>
        <v>5000</v>
      </c>
      <c r="L387" s="1">
        <f>IF(Table1[[#This Row],[Agi]]&gt;ctc_phase_out_begins,ctc_phase_out_rate*(Table1[[#This Row],[Agi]]-ctc_phase_out_begins),0)</f>
        <v>3250</v>
      </c>
      <c r="M387" s="1">
        <f>MAX(Table1[[#This Row],[Child Tax Credit]]-Table1[[#This Row],[Child Tax Credit Phase Out]],0)</f>
        <v>1750</v>
      </c>
      <c r="N387" s="1">
        <f>MAX(Table1[[#This Row],[Regular Taxes Owed]]-Table1[[#This Row],[Effective Child Tax Credit]],0)</f>
        <v>23305</v>
      </c>
      <c r="O387" s="1">
        <f>MAX(MIN((Table1[[#This Row],[taxable wages]]-3000)*0.15,1000*num_kids_16_younger),0)</f>
        <v>5000</v>
      </c>
      <c r="P387" s="9">
        <f>IF(Table1[[#This Row],[Effective Child Tax Credit]]&gt;Table1[[#This Row],[Regular Taxes Owed]],Table1[[#This Row],[Additional Child Tax Credit ]]-Table1[[#This Row],[Regular Taxes Owed]],0)</f>
        <v>0</v>
      </c>
      <c r="Q3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7" s="1">
        <f>Table1[[#This Row],[Effective Additional Child Tax Credit]]+Table1[[#This Row],[Eitc]]</f>
        <v>0</v>
      </c>
      <c r="S387" s="9">
        <f>Table1[[#This Row],[Regular Taxes Owed - Effective Child Tax Credit]]-Table1[[#This Row],[Total Credits]]</f>
        <v>23305</v>
      </c>
      <c r="T387" s="9">
        <f>Table1[[#This Row],[taxable wages]]+interest+dividends+short_term_capital_gains+long_term_capital_gains-(charitable_donations+mortgage_interest)</f>
        <v>175000</v>
      </c>
      <c r="U387" s="9">
        <f>MAX(amt_exemption-amt_exemption_phase_out_rate*MAX(Table1[[#This Row],[taxable wages]]-amt_phase_out_begins,0),0)</f>
        <v>79975</v>
      </c>
      <c r="V3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24706.5</v>
      </c>
      <c r="W387" s="1">
        <f>IF(AND(Table1[[#This Row],[AMT Taxes]]&gt;Table1[[#This Row],[Regular Taxes Owed]],Table1[[#This Row],[AMT Taxes]]&gt;0),Table1[[#This Row],[AMT Taxes]]-Table1[[#This Row],[Regular Taxes Owed]],0)</f>
        <v>0</v>
      </c>
      <c r="X387" s="9">
        <f>Table1[[#This Row],[Extra Taxes From Amt]]+Table1[[#This Row],[Federal Taxes Owed (No AMT)]]</f>
        <v>23305</v>
      </c>
      <c r="Y387" s="9">
        <f>IF(Table1[[#This Row],[taxable wages]]&gt;obamacare_surcharge_amount,obamacare_surcharge_percent*(Table1[[#This Row],[taxable wages]]-obamacare_surcharge_amount),0)</f>
        <v>0</v>
      </c>
      <c r="Z387" s="9">
        <f>Table1[[#This Row],[Federal Taxes Owed (Includes AMT)]]+Table1[[#This Row],[Obamacare surcharge premium]]</f>
        <v>23305</v>
      </c>
      <c r="AA387" s="9">
        <f>Table1[[#This Row],[taxable wages]]-Table1[[#This Row],[Federal Taxes Owed2]]</f>
        <v>151695</v>
      </c>
      <c r="AB387" s="51">
        <f t="shared" si="36"/>
        <v>0.3</v>
      </c>
      <c r="AC387" s="41"/>
      <c r="AD387" s="13"/>
      <c r="AE387" s="13"/>
    </row>
    <row r="388" spans="2:31" x14ac:dyDescent="0.3">
      <c r="B388" s="41">
        <f t="shared" si="37"/>
        <v>175500</v>
      </c>
      <c r="C388" s="1">
        <f>Table1[[#This Row],[taxable wages]]</f>
        <v>175500</v>
      </c>
      <c r="D388" s="1">
        <f>Table1[[#This Row],[taxable wages]]+interest+dividends+short_term_capital_gains+long_term_capital_gains</f>
        <v>175500</v>
      </c>
      <c r="E388" s="1">
        <f>MAX(Table1[[#This Row],[earned income for EITC]:[Agi For Eitc Calc]])</f>
        <v>175500</v>
      </c>
      <c r="F388" s="1">
        <f>Table1[[#This Row],[taxable wages]]+interest+dividends+short_term_capital_gains+long_term_capital_gains-(trad_ira_contributions+MIN(student_loan_interest_cap,student_loan_interest))</f>
        <v>175500</v>
      </c>
      <c r="G388" s="1">
        <f t="shared" si="33"/>
        <v>12600</v>
      </c>
      <c r="H388" s="1">
        <f t="shared" si="34"/>
        <v>28350</v>
      </c>
      <c r="I388" s="1">
        <f>MAX(0,Table1[[#This Row],[Agi]]-Table1[[#This Row],[Exemptions]]-Table1[[#This Row],[Effective Deductions]])</f>
        <v>134550</v>
      </c>
      <c r="J3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25180</v>
      </c>
      <c r="K388" s="1">
        <f t="shared" si="35"/>
        <v>5000</v>
      </c>
      <c r="L388" s="1">
        <f>IF(Table1[[#This Row],[Agi]]&gt;ctc_phase_out_begins,ctc_phase_out_rate*(Table1[[#This Row],[Agi]]-ctc_phase_out_begins),0)</f>
        <v>3275</v>
      </c>
      <c r="M388" s="1">
        <f>MAX(Table1[[#This Row],[Child Tax Credit]]-Table1[[#This Row],[Child Tax Credit Phase Out]],0)</f>
        <v>1725</v>
      </c>
      <c r="N388" s="1">
        <f>MAX(Table1[[#This Row],[Regular Taxes Owed]]-Table1[[#This Row],[Effective Child Tax Credit]],0)</f>
        <v>23455</v>
      </c>
      <c r="O388" s="1">
        <f>MAX(MIN((Table1[[#This Row],[taxable wages]]-3000)*0.15,1000*num_kids_16_younger),0)</f>
        <v>5000</v>
      </c>
      <c r="P388" s="9">
        <f>IF(Table1[[#This Row],[Effective Child Tax Credit]]&gt;Table1[[#This Row],[Regular Taxes Owed]],Table1[[#This Row],[Additional Child Tax Credit ]]-Table1[[#This Row],[Regular Taxes Owed]],0)</f>
        <v>0</v>
      </c>
      <c r="Q3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8" s="1">
        <f>Table1[[#This Row],[Effective Additional Child Tax Credit]]+Table1[[#This Row],[Eitc]]</f>
        <v>0</v>
      </c>
      <c r="S388" s="9">
        <f>Table1[[#This Row],[Regular Taxes Owed - Effective Child Tax Credit]]-Table1[[#This Row],[Total Credits]]</f>
        <v>23455</v>
      </c>
      <c r="T388" s="9">
        <f>Table1[[#This Row],[taxable wages]]+interest+dividends+short_term_capital_gains+long_term_capital_gains-(charitable_donations+mortgage_interest)</f>
        <v>175500</v>
      </c>
      <c r="U388" s="9">
        <f>MAX(amt_exemption-amt_exemption_phase_out_rate*MAX(Table1[[#This Row],[taxable wages]]-amt_phase_out_begins,0),0)</f>
        <v>79850</v>
      </c>
      <c r="V3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24869</v>
      </c>
      <c r="W388" s="1">
        <f>IF(AND(Table1[[#This Row],[AMT Taxes]]&gt;Table1[[#This Row],[Regular Taxes Owed]],Table1[[#This Row],[AMT Taxes]]&gt;0),Table1[[#This Row],[AMT Taxes]]-Table1[[#This Row],[Regular Taxes Owed]],0)</f>
        <v>0</v>
      </c>
      <c r="X388" s="9">
        <f>Table1[[#This Row],[Extra Taxes From Amt]]+Table1[[#This Row],[Federal Taxes Owed (No AMT)]]</f>
        <v>23455</v>
      </c>
      <c r="Y388" s="9">
        <f>IF(Table1[[#This Row],[taxable wages]]&gt;obamacare_surcharge_amount,obamacare_surcharge_percent*(Table1[[#This Row],[taxable wages]]-obamacare_surcharge_amount),0)</f>
        <v>0</v>
      </c>
      <c r="Z388" s="9">
        <f>Table1[[#This Row],[Federal Taxes Owed (Includes AMT)]]+Table1[[#This Row],[Obamacare surcharge premium]]</f>
        <v>23455</v>
      </c>
      <c r="AA388" s="9">
        <f>Table1[[#This Row],[taxable wages]]-Table1[[#This Row],[Federal Taxes Owed2]]</f>
        <v>152045</v>
      </c>
      <c r="AB388" s="51">
        <f t="shared" si="36"/>
        <v>0.3</v>
      </c>
      <c r="AC388" s="41"/>
      <c r="AD388" s="13"/>
      <c r="AE388" s="13"/>
    </row>
    <row r="389" spans="2:31" x14ac:dyDescent="0.3">
      <c r="B389" s="41">
        <f t="shared" si="37"/>
        <v>176000</v>
      </c>
      <c r="C389" s="1">
        <f>Table1[[#This Row],[taxable wages]]</f>
        <v>176000</v>
      </c>
      <c r="D389" s="1">
        <f>Table1[[#This Row],[taxable wages]]+interest+dividends+short_term_capital_gains+long_term_capital_gains</f>
        <v>176000</v>
      </c>
      <c r="E389" s="1">
        <f>MAX(Table1[[#This Row],[earned income for EITC]:[Agi For Eitc Calc]])</f>
        <v>176000</v>
      </c>
      <c r="F389" s="1">
        <f>Table1[[#This Row],[taxable wages]]+interest+dividends+short_term_capital_gains+long_term_capital_gains-(trad_ira_contributions+MIN(student_loan_interest_cap,student_loan_interest))</f>
        <v>176000</v>
      </c>
      <c r="G389" s="1">
        <f t="shared" si="33"/>
        <v>12600</v>
      </c>
      <c r="H389" s="1">
        <f t="shared" si="34"/>
        <v>28350</v>
      </c>
      <c r="I389" s="1">
        <f>MAX(0,Table1[[#This Row],[Agi]]-Table1[[#This Row],[Exemptions]]-Table1[[#This Row],[Effective Deductions]])</f>
        <v>135050</v>
      </c>
      <c r="J3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25305</v>
      </c>
      <c r="K389" s="1">
        <f t="shared" si="35"/>
        <v>5000</v>
      </c>
      <c r="L389" s="1">
        <f>IF(Table1[[#This Row],[Agi]]&gt;ctc_phase_out_begins,ctc_phase_out_rate*(Table1[[#This Row],[Agi]]-ctc_phase_out_begins),0)</f>
        <v>3300</v>
      </c>
      <c r="M389" s="1">
        <f>MAX(Table1[[#This Row],[Child Tax Credit]]-Table1[[#This Row],[Child Tax Credit Phase Out]],0)</f>
        <v>1700</v>
      </c>
      <c r="N389" s="1">
        <f>MAX(Table1[[#This Row],[Regular Taxes Owed]]-Table1[[#This Row],[Effective Child Tax Credit]],0)</f>
        <v>23605</v>
      </c>
      <c r="O389" s="1">
        <f>MAX(MIN((Table1[[#This Row],[taxable wages]]-3000)*0.15,1000*num_kids_16_younger),0)</f>
        <v>5000</v>
      </c>
      <c r="P389" s="9">
        <f>IF(Table1[[#This Row],[Effective Child Tax Credit]]&gt;Table1[[#This Row],[Regular Taxes Owed]],Table1[[#This Row],[Additional Child Tax Credit ]]-Table1[[#This Row],[Regular Taxes Owed]],0)</f>
        <v>0</v>
      </c>
      <c r="Q3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89" s="1">
        <f>Table1[[#This Row],[Effective Additional Child Tax Credit]]+Table1[[#This Row],[Eitc]]</f>
        <v>0</v>
      </c>
      <c r="S389" s="9">
        <f>Table1[[#This Row],[Regular Taxes Owed - Effective Child Tax Credit]]-Table1[[#This Row],[Total Credits]]</f>
        <v>23605</v>
      </c>
      <c r="T389" s="9">
        <f>Table1[[#This Row],[taxable wages]]+interest+dividends+short_term_capital_gains+long_term_capital_gains-(charitable_donations+mortgage_interest)</f>
        <v>176000</v>
      </c>
      <c r="U389" s="9">
        <f>MAX(amt_exemption-amt_exemption_phase_out_rate*MAX(Table1[[#This Row],[taxable wages]]-amt_phase_out_begins,0),0)</f>
        <v>79725</v>
      </c>
      <c r="V3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25031.5</v>
      </c>
      <c r="W389" s="1">
        <f>IF(AND(Table1[[#This Row],[AMT Taxes]]&gt;Table1[[#This Row],[Regular Taxes Owed]],Table1[[#This Row],[AMT Taxes]]&gt;0),Table1[[#This Row],[AMT Taxes]]-Table1[[#This Row],[Regular Taxes Owed]],0)</f>
        <v>0</v>
      </c>
      <c r="X389" s="9">
        <f>Table1[[#This Row],[Extra Taxes From Amt]]+Table1[[#This Row],[Federal Taxes Owed (No AMT)]]</f>
        <v>23605</v>
      </c>
      <c r="Y389" s="9">
        <f>IF(Table1[[#This Row],[taxable wages]]&gt;obamacare_surcharge_amount,obamacare_surcharge_percent*(Table1[[#This Row],[taxable wages]]-obamacare_surcharge_amount),0)</f>
        <v>0</v>
      </c>
      <c r="Z389" s="9">
        <f>Table1[[#This Row],[Federal Taxes Owed (Includes AMT)]]+Table1[[#This Row],[Obamacare surcharge premium]]</f>
        <v>23605</v>
      </c>
      <c r="AA389" s="9">
        <f>Table1[[#This Row],[taxable wages]]-Table1[[#This Row],[Federal Taxes Owed2]]</f>
        <v>152395</v>
      </c>
      <c r="AB389" s="51">
        <f t="shared" si="36"/>
        <v>0.3</v>
      </c>
      <c r="AC389" s="41"/>
      <c r="AD389" s="13"/>
      <c r="AE389" s="13"/>
    </row>
    <row r="390" spans="2:31" x14ac:dyDescent="0.3">
      <c r="B390" s="41">
        <f t="shared" si="37"/>
        <v>176500</v>
      </c>
      <c r="C390" s="1">
        <f>Table1[[#This Row],[taxable wages]]</f>
        <v>176500</v>
      </c>
      <c r="D390" s="1">
        <f>Table1[[#This Row],[taxable wages]]+interest+dividends+short_term_capital_gains+long_term_capital_gains</f>
        <v>176500</v>
      </c>
      <c r="E390" s="1">
        <f>MAX(Table1[[#This Row],[earned income for EITC]:[Agi For Eitc Calc]])</f>
        <v>176500</v>
      </c>
      <c r="F390" s="1">
        <f>Table1[[#This Row],[taxable wages]]+interest+dividends+short_term_capital_gains+long_term_capital_gains-(trad_ira_contributions+MIN(student_loan_interest_cap,student_loan_interest))</f>
        <v>176500</v>
      </c>
      <c r="G390" s="1">
        <f t="shared" si="33"/>
        <v>12600</v>
      </c>
      <c r="H390" s="1">
        <f t="shared" si="34"/>
        <v>28350</v>
      </c>
      <c r="I390" s="1">
        <f>MAX(0,Table1[[#This Row],[Agi]]-Table1[[#This Row],[Exemptions]]-Table1[[#This Row],[Effective Deductions]])</f>
        <v>135550</v>
      </c>
      <c r="J3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25430</v>
      </c>
      <c r="K390" s="1">
        <f t="shared" si="35"/>
        <v>5000</v>
      </c>
      <c r="L390" s="1">
        <f>IF(Table1[[#This Row],[Agi]]&gt;ctc_phase_out_begins,ctc_phase_out_rate*(Table1[[#This Row],[Agi]]-ctc_phase_out_begins),0)</f>
        <v>3325</v>
      </c>
      <c r="M390" s="1">
        <f>MAX(Table1[[#This Row],[Child Tax Credit]]-Table1[[#This Row],[Child Tax Credit Phase Out]],0)</f>
        <v>1675</v>
      </c>
      <c r="N390" s="1">
        <f>MAX(Table1[[#This Row],[Regular Taxes Owed]]-Table1[[#This Row],[Effective Child Tax Credit]],0)</f>
        <v>23755</v>
      </c>
      <c r="O390" s="1">
        <f>MAX(MIN((Table1[[#This Row],[taxable wages]]-3000)*0.15,1000*num_kids_16_younger),0)</f>
        <v>5000</v>
      </c>
      <c r="P390" s="9">
        <f>IF(Table1[[#This Row],[Effective Child Tax Credit]]&gt;Table1[[#This Row],[Regular Taxes Owed]],Table1[[#This Row],[Additional Child Tax Credit ]]-Table1[[#This Row],[Regular Taxes Owed]],0)</f>
        <v>0</v>
      </c>
      <c r="Q3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0" s="1">
        <f>Table1[[#This Row],[Effective Additional Child Tax Credit]]+Table1[[#This Row],[Eitc]]</f>
        <v>0</v>
      </c>
      <c r="S390" s="9">
        <f>Table1[[#This Row],[Regular Taxes Owed - Effective Child Tax Credit]]-Table1[[#This Row],[Total Credits]]</f>
        <v>23755</v>
      </c>
      <c r="T390" s="9">
        <f>Table1[[#This Row],[taxable wages]]+interest+dividends+short_term_capital_gains+long_term_capital_gains-(charitable_donations+mortgage_interest)</f>
        <v>176500</v>
      </c>
      <c r="U390" s="9">
        <f>MAX(amt_exemption-amt_exemption_phase_out_rate*MAX(Table1[[#This Row],[taxable wages]]-amt_phase_out_begins,0),0)</f>
        <v>79600</v>
      </c>
      <c r="V3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25194</v>
      </c>
      <c r="W390" s="1">
        <f>IF(AND(Table1[[#This Row],[AMT Taxes]]&gt;Table1[[#This Row],[Regular Taxes Owed]],Table1[[#This Row],[AMT Taxes]]&gt;0),Table1[[#This Row],[AMT Taxes]]-Table1[[#This Row],[Regular Taxes Owed]],0)</f>
        <v>0</v>
      </c>
      <c r="X390" s="9">
        <f>Table1[[#This Row],[Extra Taxes From Amt]]+Table1[[#This Row],[Federal Taxes Owed (No AMT)]]</f>
        <v>23755</v>
      </c>
      <c r="Y390" s="9">
        <f>IF(Table1[[#This Row],[taxable wages]]&gt;obamacare_surcharge_amount,obamacare_surcharge_percent*(Table1[[#This Row],[taxable wages]]-obamacare_surcharge_amount),0)</f>
        <v>0</v>
      </c>
      <c r="Z390" s="9">
        <f>Table1[[#This Row],[Federal Taxes Owed (Includes AMT)]]+Table1[[#This Row],[Obamacare surcharge premium]]</f>
        <v>23755</v>
      </c>
      <c r="AA390" s="9">
        <f>Table1[[#This Row],[taxable wages]]-Table1[[#This Row],[Federal Taxes Owed2]]</f>
        <v>152745</v>
      </c>
      <c r="AB390" s="51">
        <f t="shared" si="36"/>
        <v>0.3</v>
      </c>
      <c r="AC390" s="41"/>
      <c r="AD390" s="13"/>
      <c r="AE390" s="13"/>
    </row>
    <row r="391" spans="2:31" x14ac:dyDescent="0.3">
      <c r="B391" s="41">
        <f t="shared" si="37"/>
        <v>177000</v>
      </c>
      <c r="C391" s="1">
        <f>Table1[[#This Row],[taxable wages]]</f>
        <v>177000</v>
      </c>
      <c r="D391" s="1">
        <f>Table1[[#This Row],[taxable wages]]+interest+dividends+short_term_capital_gains+long_term_capital_gains</f>
        <v>177000</v>
      </c>
      <c r="E391" s="1">
        <f>MAX(Table1[[#This Row],[earned income for EITC]:[Agi For Eitc Calc]])</f>
        <v>177000</v>
      </c>
      <c r="F391" s="1">
        <f>Table1[[#This Row],[taxable wages]]+interest+dividends+short_term_capital_gains+long_term_capital_gains-(trad_ira_contributions+MIN(student_loan_interest_cap,student_loan_interest))</f>
        <v>177000</v>
      </c>
      <c r="G391" s="1">
        <f t="shared" si="33"/>
        <v>12600</v>
      </c>
      <c r="H391" s="1">
        <f t="shared" si="34"/>
        <v>28350</v>
      </c>
      <c r="I391" s="1">
        <f>MAX(0,Table1[[#This Row],[Agi]]-Table1[[#This Row],[Exemptions]]-Table1[[#This Row],[Effective Deductions]])</f>
        <v>136050</v>
      </c>
      <c r="J3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25555</v>
      </c>
      <c r="K391" s="1">
        <f t="shared" si="35"/>
        <v>5000</v>
      </c>
      <c r="L391" s="1">
        <f>IF(Table1[[#This Row],[Agi]]&gt;ctc_phase_out_begins,ctc_phase_out_rate*(Table1[[#This Row],[Agi]]-ctc_phase_out_begins),0)</f>
        <v>3350</v>
      </c>
      <c r="M391" s="1">
        <f>MAX(Table1[[#This Row],[Child Tax Credit]]-Table1[[#This Row],[Child Tax Credit Phase Out]],0)</f>
        <v>1650</v>
      </c>
      <c r="N391" s="1">
        <f>MAX(Table1[[#This Row],[Regular Taxes Owed]]-Table1[[#This Row],[Effective Child Tax Credit]],0)</f>
        <v>23905</v>
      </c>
      <c r="O391" s="1">
        <f>MAX(MIN((Table1[[#This Row],[taxable wages]]-3000)*0.15,1000*num_kids_16_younger),0)</f>
        <v>5000</v>
      </c>
      <c r="P391" s="9">
        <f>IF(Table1[[#This Row],[Effective Child Tax Credit]]&gt;Table1[[#This Row],[Regular Taxes Owed]],Table1[[#This Row],[Additional Child Tax Credit ]]-Table1[[#This Row],[Regular Taxes Owed]],0)</f>
        <v>0</v>
      </c>
      <c r="Q3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1" s="1">
        <f>Table1[[#This Row],[Effective Additional Child Tax Credit]]+Table1[[#This Row],[Eitc]]</f>
        <v>0</v>
      </c>
      <c r="S391" s="9">
        <f>Table1[[#This Row],[Regular Taxes Owed - Effective Child Tax Credit]]-Table1[[#This Row],[Total Credits]]</f>
        <v>23905</v>
      </c>
      <c r="T391" s="9">
        <f>Table1[[#This Row],[taxable wages]]+interest+dividends+short_term_capital_gains+long_term_capital_gains-(charitable_donations+mortgage_interest)</f>
        <v>177000</v>
      </c>
      <c r="U391" s="9">
        <f>MAX(amt_exemption-amt_exemption_phase_out_rate*MAX(Table1[[#This Row],[taxable wages]]-amt_phase_out_begins,0),0)</f>
        <v>79475</v>
      </c>
      <c r="V3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25356.5</v>
      </c>
      <c r="W391" s="1">
        <f>IF(AND(Table1[[#This Row],[AMT Taxes]]&gt;Table1[[#This Row],[Regular Taxes Owed]],Table1[[#This Row],[AMT Taxes]]&gt;0),Table1[[#This Row],[AMT Taxes]]-Table1[[#This Row],[Regular Taxes Owed]],0)</f>
        <v>0</v>
      </c>
      <c r="X391" s="9">
        <f>Table1[[#This Row],[Extra Taxes From Amt]]+Table1[[#This Row],[Federal Taxes Owed (No AMT)]]</f>
        <v>23905</v>
      </c>
      <c r="Y391" s="9">
        <f>IF(Table1[[#This Row],[taxable wages]]&gt;obamacare_surcharge_amount,obamacare_surcharge_percent*(Table1[[#This Row],[taxable wages]]-obamacare_surcharge_amount),0)</f>
        <v>0</v>
      </c>
      <c r="Z391" s="9">
        <f>Table1[[#This Row],[Federal Taxes Owed (Includes AMT)]]+Table1[[#This Row],[Obamacare surcharge premium]]</f>
        <v>23905</v>
      </c>
      <c r="AA391" s="9">
        <f>Table1[[#This Row],[taxable wages]]-Table1[[#This Row],[Federal Taxes Owed2]]</f>
        <v>153095</v>
      </c>
      <c r="AB391" s="51">
        <f t="shared" si="36"/>
        <v>0.3</v>
      </c>
      <c r="AC391" s="41"/>
      <c r="AD391" s="13"/>
      <c r="AE391" s="13"/>
    </row>
    <row r="392" spans="2:31" x14ac:dyDescent="0.3">
      <c r="B392" s="41">
        <f t="shared" si="37"/>
        <v>177500</v>
      </c>
      <c r="C392" s="1">
        <f>Table1[[#This Row],[taxable wages]]</f>
        <v>177500</v>
      </c>
      <c r="D392" s="1">
        <f>Table1[[#This Row],[taxable wages]]+interest+dividends+short_term_capital_gains+long_term_capital_gains</f>
        <v>177500</v>
      </c>
      <c r="E392" s="1">
        <f>MAX(Table1[[#This Row],[earned income for EITC]:[Agi For Eitc Calc]])</f>
        <v>177500</v>
      </c>
      <c r="F392" s="1">
        <f>Table1[[#This Row],[taxable wages]]+interest+dividends+short_term_capital_gains+long_term_capital_gains-(trad_ira_contributions+MIN(student_loan_interest_cap,student_loan_interest))</f>
        <v>177500</v>
      </c>
      <c r="G392" s="1">
        <f t="shared" si="33"/>
        <v>12600</v>
      </c>
      <c r="H392" s="1">
        <f t="shared" si="34"/>
        <v>28350</v>
      </c>
      <c r="I392" s="1">
        <f>MAX(0,Table1[[#This Row],[Agi]]-Table1[[#This Row],[Exemptions]]-Table1[[#This Row],[Effective Deductions]])</f>
        <v>136550</v>
      </c>
      <c r="J3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25680</v>
      </c>
      <c r="K392" s="1">
        <f t="shared" si="35"/>
        <v>5000</v>
      </c>
      <c r="L392" s="1">
        <f>IF(Table1[[#This Row],[Agi]]&gt;ctc_phase_out_begins,ctc_phase_out_rate*(Table1[[#This Row],[Agi]]-ctc_phase_out_begins),0)</f>
        <v>3375</v>
      </c>
      <c r="M392" s="1">
        <f>MAX(Table1[[#This Row],[Child Tax Credit]]-Table1[[#This Row],[Child Tax Credit Phase Out]],0)</f>
        <v>1625</v>
      </c>
      <c r="N392" s="1">
        <f>MAX(Table1[[#This Row],[Regular Taxes Owed]]-Table1[[#This Row],[Effective Child Tax Credit]],0)</f>
        <v>24055</v>
      </c>
      <c r="O392" s="1">
        <f>MAX(MIN((Table1[[#This Row],[taxable wages]]-3000)*0.15,1000*num_kids_16_younger),0)</f>
        <v>5000</v>
      </c>
      <c r="P392" s="9">
        <f>IF(Table1[[#This Row],[Effective Child Tax Credit]]&gt;Table1[[#This Row],[Regular Taxes Owed]],Table1[[#This Row],[Additional Child Tax Credit ]]-Table1[[#This Row],[Regular Taxes Owed]],0)</f>
        <v>0</v>
      </c>
      <c r="Q3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2" s="1">
        <f>Table1[[#This Row],[Effective Additional Child Tax Credit]]+Table1[[#This Row],[Eitc]]</f>
        <v>0</v>
      </c>
      <c r="S392" s="9">
        <f>Table1[[#This Row],[Regular Taxes Owed - Effective Child Tax Credit]]-Table1[[#This Row],[Total Credits]]</f>
        <v>24055</v>
      </c>
      <c r="T392" s="9">
        <f>Table1[[#This Row],[taxable wages]]+interest+dividends+short_term_capital_gains+long_term_capital_gains-(charitable_donations+mortgage_interest)</f>
        <v>177500</v>
      </c>
      <c r="U392" s="9">
        <f>MAX(amt_exemption-amt_exemption_phase_out_rate*MAX(Table1[[#This Row],[taxable wages]]-amt_phase_out_begins,0),0)</f>
        <v>79350</v>
      </c>
      <c r="V3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25519</v>
      </c>
      <c r="W392" s="1">
        <f>IF(AND(Table1[[#This Row],[AMT Taxes]]&gt;Table1[[#This Row],[Regular Taxes Owed]],Table1[[#This Row],[AMT Taxes]]&gt;0),Table1[[#This Row],[AMT Taxes]]-Table1[[#This Row],[Regular Taxes Owed]],0)</f>
        <v>0</v>
      </c>
      <c r="X392" s="9">
        <f>Table1[[#This Row],[Extra Taxes From Amt]]+Table1[[#This Row],[Federal Taxes Owed (No AMT)]]</f>
        <v>24055</v>
      </c>
      <c r="Y392" s="9">
        <f>IF(Table1[[#This Row],[taxable wages]]&gt;obamacare_surcharge_amount,obamacare_surcharge_percent*(Table1[[#This Row],[taxable wages]]-obamacare_surcharge_amount),0)</f>
        <v>0</v>
      </c>
      <c r="Z392" s="9">
        <f>Table1[[#This Row],[Federal Taxes Owed (Includes AMT)]]+Table1[[#This Row],[Obamacare surcharge premium]]</f>
        <v>24055</v>
      </c>
      <c r="AA392" s="9">
        <f>Table1[[#This Row],[taxable wages]]-Table1[[#This Row],[Federal Taxes Owed2]]</f>
        <v>153445</v>
      </c>
      <c r="AB392" s="51">
        <f t="shared" si="36"/>
        <v>0.3</v>
      </c>
      <c r="AC392" s="41"/>
      <c r="AD392" s="13"/>
      <c r="AE392" s="13"/>
    </row>
    <row r="393" spans="2:31" x14ac:dyDescent="0.3">
      <c r="B393" s="41">
        <f t="shared" si="37"/>
        <v>178000</v>
      </c>
      <c r="C393" s="1">
        <f>Table1[[#This Row],[taxable wages]]</f>
        <v>178000</v>
      </c>
      <c r="D393" s="1">
        <f>Table1[[#This Row],[taxable wages]]+interest+dividends+short_term_capital_gains+long_term_capital_gains</f>
        <v>178000</v>
      </c>
      <c r="E393" s="1">
        <f>MAX(Table1[[#This Row],[earned income for EITC]:[Agi For Eitc Calc]])</f>
        <v>178000</v>
      </c>
      <c r="F393" s="1">
        <f>Table1[[#This Row],[taxable wages]]+interest+dividends+short_term_capital_gains+long_term_capital_gains-(trad_ira_contributions+MIN(student_loan_interest_cap,student_loan_interest))</f>
        <v>178000</v>
      </c>
      <c r="G393" s="1">
        <f t="shared" si="33"/>
        <v>12600</v>
      </c>
      <c r="H393" s="1">
        <f t="shared" si="34"/>
        <v>28350</v>
      </c>
      <c r="I393" s="1">
        <f>MAX(0,Table1[[#This Row],[Agi]]-Table1[[#This Row],[Exemptions]]-Table1[[#This Row],[Effective Deductions]])</f>
        <v>137050</v>
      </c>
      <c r="J3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25805</v>
      </c>
      <c r="K393" s="1">
        <f t="shared" si="35"/>
        <v>5000</v>
      </c>
      <c r="L393" s="1">
        <f>IF(Table1[[#This Row],[Agi]]&gt;ctc_phase_out_begins,ctc_phase_out_rate*(Table1[[#This Row],[Agi]]-ctc_phase_out_begins),0)</f>
        <v>3400</v>
      </c>
      <c r="M393" s="1">
        <f>MAX(Table1[[#This Row],[Child Tax Credit]]-Table1[[#This Row],[Child Tax Credit Phase Out]],0)</f>
        <v>1600</v>
      </c>
      <c r="N393" s="1">
        <f>MAX(Table1[[#This Row],[Regular Taxes Owed]]-Table1[[#This Row],[Effective Child Tax Credit]],0)</f>
        <v>24205</v>
      </c>
      <c r="O393" s="1">
        <f>MAX(MIN((Table1[[#This Row],[taxable wages]]-3000)*0.15,1000*num_kids_16_younger),0)</f>
        <v>5000</v>
      </c>
      <c r="P393" s="9">
        <f>IF(Table1[[#This Row],[Effective Child Tax Credit]]&gt;Table1[[#This Row],[Regular Taxes Owed]],Table1[[#This Row],[Additional Child Tax Credit ]]-Table1[[#This Row],[Regular Taxes Owed]],0)</f>
        <v>0</v>
      </c>
      <c r="Q3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3" s="1">
        <f>Table1[[#This Row],[Effective Additional Child Tax Credit]]+Table1[[#This Row],[Eitc]]</f>
        <v>0</v>
      </c>
      <c r="S393" s="9">
        <f>Table1[[#This Row],[Regular Taxes Owed - Effective Child Tax Credit]]-Table1[[#This Row],[Total Credits]]</f>
        <v>24205</v>
      </c>
      <c r="T393" s="9">
        <f>Table1[[#This Row],[taxable wages]]+interest+dividends+short_term_capital_gains+long_term_capital_gains-(charitable_donations+mortgage_interest)</f>
        <v>178000</v>
      </c>
      <c r="U393" s="9">
        <f>MAX(amt_exemption-amt_exemption_phase_out_rate*MAX(Table1[[#This Row],[taxable wages]]-amt_phase_out_begins,0),0)</f>
        <v>79225</v>
      </c>
      <c r="V3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25681.5</v>
      </c>
      <c r="W393" s="1">
        <f>IF(AND(Table1[[#This Row],[AMT Taxes]]&gt;Table1[[#This Row],[Regular Taxes Owed]],Table1[[#This Row],[AMT Taxes]]&gt;0),Table1[[#This Row],[AMT Taxes]]-Table1[[#This Row],[Regular Taxes Owed]],0)</f>
        <v>0</v>
      </c>
      <c r="X393" s="9">
        <f>Table1[[#This Row],[Extra Taxes From Amt]]+Table1[[#This Row],[Federal Taxes Owed (No AMT)]]</f>
        <v>24205</v>
      </c>
      <c r="Y393" s="9">
        <f>IF(Table1[[#This Row],[taxable wages]]&gt;obamacare_surcharge_amount,obamacare_surcharge_percent*(Table1[[#This Row],[taxable wages]]-obamacare_surcharge_amount),0)</f>
        <v>0</v>
      </c>
      <c r="Z393" s="9">
        <f>Table1[[#This Row],[Federal Taxes Owed (Includes AMT)]]+Table1[[#This Row],[Obamacare surcharge premium]]</f>
        <v>24205</v>
      </c>
      <c r="AA393" s="9">
        <f>Table1[[#This Row],[taxable wages]]-Table1[[#This Row],[Federal Taxes Owed2]]</f>
        <v>153795</v>
      </c>
      <c r="AB393" s="51">
        <f t="shared" si="36"/>
        <v>0.3</v>
      </c>
      <c r="AC393" s="41"/>
      <c r="AD393" s="13"/>
      <c r="AE393" s="13"/>
    </row>
    <row r="394" spans="2:31" x14ac:dyDescent="0.3">
      <c r="B394" s="41">
        <f t="shared" si="37"/>
        <v>178500</v>
      </c>
      <c r="C394" s="1">
        <f>Table1[[#This Row],[taxable wages]]</f>
        <v>178500</v>
      </c>
      <c r="D394" s="1">
        <f>Table1[[#This Row],[taxable wages]]+interest+dividends+short_term_capital_gains+long_term_capital_gains</f>
        <v>178500</v>
      </c>
      <c r="E394" s="1">
        <f>MAX(Table1[[#This Row],[earned income for EITC]:[Agi For Eitc Calc]])</f>
        <v>178500</v>
      </c>
      <c r="F394" s="1">
        <f>Table1[[#This Row],[taxable wages]]+interest+dividends+short_term_capital_gains+long_term_capital_gains-(trad_ira_contributions+MIN(student_loan_interest_cap,student_loan_interest))</f>
        <v>178500</v>
      </c>
      <c r="G394" s="1">
        <f t="shared" si="33"/>
        <v>12600</v>
      </c>
      <c r="H394" s="1">
        <f t="shared" si="34"/>
        <v>28350</v>
      </c>
      <c r="I394" s="1">
        <f>MAX(0,Table1[[#This Row],[Agi]]-Table1[[#This Row],[Exemptions]]-Table1[[#This Row],[Effective Deductions]])</f>
        <v>137550</v>
      </c>
      <c r="J3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25930</v>
      </c>
      <c r="K394" s="1">
        <f t="shared" si="35"/>
        <v>5000</v>
      </c>
      <c r="L394" s="1">
        <f>IF(Table1[[#This Row],[Agi]]&gt;ctc_phase_out_begins,ctc_phase_out_rate*(Table1[[#This Row],[Agi]]-ctc_phase_out_begins),0)</f>
        <v>3425</v>
      </c>
      <c r="M394" s="1">
        <f>MAX(Table1[[#This Row],[Child Tax Credit]]-Table1[[#This Row],[Child Tax Credit Phase Out]],0)</f>
        <v>1575</v>
      </c>
      <c r="N394" s="1">
        <f>MAX(Table1[[#This Row],[Regular Taxes Owed]]-Table1[[#This Row],[Effective Child Tax Credit]],0)</f>
        <v>24355</v>
      </c>
      <c r="O394" s="1">
        <f>MAX(MIN((Table1[[#This Row],[taxable wages]]-3000)*0.15,1000*num_kids_16_younger),0)</f>
        <v>5000</v>
      </c>
      <c r="P394" s="9">
        <f>IF(Table1[[#This Row],[Effective Child Tax Credit]]&gt;Table1[[#This Row],[Regular Taxes Owed]],Table1[[#This Row],[Additional Child Tax Credit ]]-Table1[[#This Row],[Regular Taxes Owed]],0)</f>
        <v>0</v>
      </c>
      <c r="Q3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4" s="1">
        <f>Table1[[#This Row],[Effective Additional Child Tax Credit]]+Table1[[#This Row],[Eitc]]</f>
        <v>0</v>
      </c>
      <c r="S394" s="9">
        <f>Table1[[#This Row],[Regular Taxes Owed - Effective Child Tax Credit]]-Table1[[#This Row],[Total Credits]]</f>
        <v>24355</v>
      </c>
      <c r="T394" s="9">
        <f>Table1[[#This Row],[taxable wages]]+interest+dividends+short_term_capital_gains+long_term_capital_gains-(charitable_donations+mortgage_interest)</f>
        <v>178500</v>
      </c>
      <c r="U394" s="9">
        <f>MAX(amt_exemption-amt_exemption_phase_out_rate*MAX(Table1[[#This Row],[taxable wages]]-amt_phase_out_begins,0),0)</f>
        <v>79100</v>
      </c>
      <c r="V3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25844</v>
      </c>
      <c r="W394" s="1">
        <f>IF(AND(Table1[[#This Row],[AMT Taxes]]&gt;Table1[[#This Row],[Regular Taxes Owed]],Table1[[#This Row],[AMT Taxes]]&gt;0),Table1[[#This Row],[AMT Taxes]]-Table1[[#This Row],[Regular Taxes Owed]],0)</f>
        <v>0</v>
      </c>
      <c r="X394" s="9">
        <f>Table1[[#This Row],[Extra Taxes From Amt]]+Table1[[#This Row],[Federal Taxes Owed (No AMT)]]</f>
        <v>24355</v>
      </c>
      <c r="Y394" s="9">
        <f>IF(Table1[[#This Row],[taxable wages]]&gt;obamacare_surcharge_amount,obamacare_surcharge_percent*(Table1[[#This Row],[taxable wages]]-obamacare_surcharge_amount),0)</f>
        <v>0</v>
      </c>
      <c r="Z394" s="9">
        <f>Table1[[#This Row],[Federal Taxes Owed (Includes AMT)]]+Table1[[#This Row],[Obamacare surcharge premium]]</f>
        <v>24355</v>
      </c>
      <c r="AA394" s="9">
        <f>Table1[[#This Row],[taxable wages]]-Table1[[#This Row],[Federal Taxes Owed2]]</f>
        <v>154145</v>
      </c>
      <c r="AB394" s="51">
        <f t="shared" si="36"/>
        <v>0.3</v>
      </c>
      <c r="AC394" s="41"/>
      <c r="AD394" s="13"/>
      <c r="AE394" s="13"/>
    </row>
    <row r="395" spans="2:31" x14ac:dyDescent="0.3">
      <c r="B395" s="41">
        <f t="shared" si="37"/>
        <v>179000</v>
      </c>
      <c r="C395" s="1">
        <f>Table1[[#This Row],[taxable wages]]</f>
        <v>179000</v>
      </c>
      <c r="D395" s="1">
        <f>Table1[[#This Row],[taxable wages]]+interest+dividends+short_term_capital_gains+long_term_capital_gains</f>
        <v>179000</v>
      </c>
      <c r="E395" s="1">
        <f>MAX(Table1[[#This Row],[earned income for EITC]:[Agi For Eitc Calc]])</f>
        <v>179000</v>
      </c>
      <c r="F395" s="1">
        <f>Table1[[#This Row],[taxable wages]]+interest+dividends+short_term_capital_gains+long_term_capital_gains-(trad_ira_contributions+MIN(student_loan_interest_cap,student_loan_interest))</f>
        <v>179000</v>
      </c>
      <c r="G395" s="1">
        <f t="shared" si="33"/>
        <v>12600</v>
      </c>
      <c r="H395" s="1">
        <f t="shared" si="34"/>
        <v>28350</v>
      </c>
      <c r="I395" s="1">
        <f>MAX(0,Table1[[#This Row],[Agi]]-Table1[[#This Row],[Exemptions]]-Table1[[#This Row],[Effective Deductions]])</f>
        <v>138050</v>
      </c>
      <c r="J3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26055</v>
      </c>
      <c r="K395" s="1">
        <f t="shared" si="35"/>
        <v>5000</v>
      </c>
      <c r="L395" s="1">
        <f>IF(Table1[[#This Row],[Agi]]&gt;ctc_phase_out_begins,ctc_phase_out_rate*(Table1[[#This Row],[Agi]]-ctc_phase_out_begins),0)</f>
        <v>3450</v>
      </c>
      <c r="M395" s="1">
        <f>MAX(Table1[[#This Row],[Child Tax Credit]]-Table1[[#This Row],[Child Tax Credit Phase Out]],0)</f>
        <v>1550</v>
      </c>
      <c r="N395" s="1">
        <f>MAX(Table1[[#This Row],[Regular Taxes Owed]]-Table1[[#This Row],[Effective Child Tax Credit]],0)</f>
        <v>24505</v>
      </c>
      <c r="O395" s="1">
        <f>MAX(MIN((Table1[[#This Row],[taxable wages]]-3000)*0.15,1000*num_kids_16_younger),0)</f>
        <v>5000</v>
      </c>
      <c r="P395" s="9">
        <f>IF(Table1[[#This Row],[Effective Child Tax Credit]]&gt;Table1[[#This Row],[Regular Taxes Owed]],Table1[[#This Row],[Additional Child Tax Credit ]]-Table1[[#This Row],[Regular Taxes Owed]],0)</f>
        <v>0</v>
      </c>
      <c r="Q3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5" s="1">
        <f>Table1[[#This Row],[Effective Additional Child Tax Credit]]+Table1[[#This Row],[Eitc]]</f>
        <v>0</v>
      </c>
      <c r="S395" s="9">
        <f>Table1[[#This Row],[Regular Taxes Owed - Effective Child Tax Credit]]-Table1[[#This Row],[Total Credits]]</f>
        <v>24505</v>
      </c>
      <c r="T395" s="9">
        <f>Table1[[#This Row],[taxable wages]]+interest+dividends+short_term_capital_gains+long_term_capital_gains-(charitable_donations+mortgage_interest)</f>
        <v>179000</v>
      </c>
      <c r="U395" s="9">
        <f>MAX(amt_exemption-amt_exemption_phase_out_rate*MAX(Table1[[#This Row],[taxable wages]]-amt_phase_out_begins,0),0)</f>
        <v>78975</v>
      </c>
      <c r="V3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26006.5</v>
      </c>
      <c r="W395" s="1">
        <f>IF(AND(Table1[[#This Row],[AMT Taxes]]&gt;Table1[[#This Row],[Regular Taxes Owed]],Table1[[#This Row],[AMT Taxes]]&gt;0),Table1[[#This Row],[AMT Taxes]]-Table1[[#This Row],[Regular Taxes Owed]],0)</f>
        <v>0</v>
      </c>
      <c r="X395" s="9">
        <f>Table1[[#This Row],[Extra Taxes From Amt]]+Table1[[#This Row],[Federal Taxes Owed (No AMT)]]</f>
        <v>24505</v>
      </c>
      <c r="Y395" s="9">
        <f>IF(Table1[[#This Row],[taxable wages]]&gt;obamacare_surcharge_amount,obamacare_surcharge_percent*(Table1[[#This Row],[taxable wages]]-obamacare_surcharge_amount),0)</f>
        <v>0</v>
      </c>
      <c r="Z395" s="9">
        <f>Table1[[#This Row],[Federal Taxes Owed (Includes AMT)]]+Table1[[#This Row],[Obamacare surcharge premium]]</f>
        <v>24505</v>
      </c>
      <c r="AA395" s="9">
        <f>Table1[[#This Row],[taxable wages]]-Table1[[#This Row],[Federal Taxes Owed2]]</f>
        <v>154495</v>
      </c>
      <c r="AB395" s="51">
        <f t="shared" si="36"/>
        <v>0.3</v>
      </c>
      <c r="AC395" s="41"/>
      <c r="AD395" s="13"/>
      <c r="AE395" s="13"/>
    </row>
    <row r="396" spans="2:31" x14ac:dyDescent="0.3">
      <c r="B396" s="41">
        <f t="shared" si="37"/>
        <v>179500</v>
      </c>
      <c r="C396" s="1">
        <f>Table1[[#This Row],[taxable wages]]</f>
        <v>179500</v>
      </c>
      <c r="D396" s="1">
        <f>Table1[[#This Row],[taxable wages]]+interest+dividends+short_term_capital_gains+long_term_capital_gains</f>
        <v>179500</v>
      </c>
      <c r="E396" s="1">
        <f>MAX(Table1[[#This Row],[earned income for EITC]:[Agi For Eitc Calc]])</f>
        <v>179500</v>
      </c>
      <c r="F396" s="1">
        <f>Table1[[#This Row],[taxable wages]]+interest+dividends+short_term_capital_gains+long_term_capital_gains-(trad_ira_contributions+MIN(student_loan_interest_cap,student_loan_interest))</f>
        <v>179500</v>
      </c>
      <c r="G396" s="1">
        <f t="shared" si="33"/>
        <v>12600</v>
      </c>
      <c r="H396" s="1">
        <f t="shared" si="34"/>
        <v>28350</v>
      </c>
      <c r="I396" s="1">
        <f>MAX(0,Table1[[#This Row],[Agi]]-Table1[[#This Row],[Exemptions]]-Table1[[#This Row],[Effective Deductions]])</f>
        <v>138550</v>
      </c>
      <c r="J3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26180</v>
      </c>
      <c r="K396" s="1">
        <f t="shared" si="35"/>
        <v>5000</v>
      </c>
      <c r="L396" s="1">
        <f>IF(Table1[[#This Row],[Agi]]&gt;ctc_phase_out_begins,ctc_phase_out_rate*(Table1[[#This Row],[Agi]]-ctc_phase_out_begins),0)</f>
        <v>3475</v>
      </c>
      <c r="M396" s="1">
        <f>MAX(Table1[[#This Row],[Child Tax Credit]]-Table1[[#This Row],[Child Tax Credit Phase Out]],0)</f>
        <v>1525</v>
      </c>
      <c r="N396" s="1">
        <f>MAX(Table1[[#This Row],[Regular Taxes Owed]]-Table1[[#This Row],[Effective Child Tax Credit]],0)</f>
        <v>24655</v>
      </c>
      <c r="O396" s="1">
        <f>MAX(MIN((Table1[[#This Row],[taxable wages]]-3000)*0.15,1000*num_kids_16_younger),0)</f>
        <v>5000</v>
      </c>
      <c r="P396" s="9">
        <f>IF(Table1[[#This Row],[Effective Child Tax Credit]]&gt;Table1[[#This Row],[Regular Taxes Owed]],Table1[[#This Row],[Additional Child Tax Credit ]]-Table1[[#This Row],[Regular Taxes Owed]],0)</f>
        <v>0</v>
      </c>
      <c r="Q3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6" s="1">
        <f>Table1[[#This Row],[Effective Additional Child Tax Credit]]+Table1[[#This Row],[Eitc]]</f>
        <v>0</v>
      </c>
      <c r="S396" s="9">
        <f>Table1[[#This Row],[Regular Taxes Owed - Effective Child Tax Credit]]-Table1[[#This Row],[Total Credits]]</f>
        <v>24655</v>
      </c>
      <c r="T396" s="9">
        <f>Table1[[#This Row],[taxable wages]]+interest+dividends+short_term_capital_gains+long_term_capital_gains-(charitable_donations+mortgage_interest)</f>
        <v>179500</v>
      </c>
      <c r="U396" s="9">
        <f>MAX(amt_exemption-amt_exemption_phase_out_rate*MAX(Table1[[#This Row],[taxable wages]]-amt_phase_out_begins,0),0)</f>
        <v>78850</v>
      </c>
      <c r="V3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26169</v>
      </c>
      <c r="W396" s="1">
        <f>IF(AND(Table1[[#This Row],[AMT Taxes]]&gt;Table1[[#This Row],[Regular Taxes Owed]],Table1[[#This Row],[AMT Taxes]]&gt;0),Table1[[#This Row],[AMT Taxes]]-Table1[[#This Row],[Regular Taxes Owed]],0)</f>
        <v>0</v>
      </c>
      <c r="X396" s="9">
        <f>Table1[[#This Row],[Extra Taxes From Amt]]+Table1[[#This Row],[Federal Taxes Owed (No AMT)]]</f>
        <v>24655</v>
      </c>
      <c r="Y396" s="9">
        <f>IF(Table1[[#This Row],[taxable wages]]&gt;obamacare_surcharge_amount,obamacare_surcharge_percent*(Table1[[#This Row],[taxable wages]]-obamacare_surcharge_amount),0)</f>
        <v>0</v>
      </c>
      <c r="Z396" s="9">
        <f>Table1[[#This Row],[Federal Taxes Owed (Includes AMT)]]+Table1[[#This Row],[Obamacare surcharge premium]]</f>
        <v>24655</v>
      </c>
      <c r="AA396" s="9">
        <f>Table1[[#This Row],[taxable wages]]-Table1[[#This Row],[Federal Taxes Owed2]]</f>
        <v>154845</v>
      </c>
      <c r="AB396" s="51">
        <f t="shared" si="36"/>
        <v>0.3</v>
      </c>
      <c r="AC396" s="41"/>
      <c r="AD396" s="13"/>
      <c r="AE396" s="13"/>
    </row>
    <row r="397" spans="2:31" x14ac:dyDescent="0.3">
      <c r="B397" s="41">
        <f t="shared" si="37"/>
        <v>180000</v>
      </c>
      <c r="C397" s="1">
        <f>Table1[[#This Row],[taxable wages]]</f>
        <v>180000</v>
      </c>
      <c r="D397" s="1">
        <f>Table1[[#This Row],[taxable wages]]+interest+dividends+short_term_capital_gains+long_term_capital_gains</f>
        <v>180000</v>
      </c>
      <c r="E397" s="1">
        <f>MAX(Table1[[#This Row],[earned income for EITC]:[Agi For Eitc Calc]])</f>
        <v>180000</v>
      </c>
      <c r="F397" s="1">
        <f>Table1[[#This Row],[taxable wages]]+interest+dividends+short_term_capital_gains+long_term_capital_gains-(trad_ira_contributions+MIN(student_loan_interest_cap,student_loan_interest))</f>
        <v>180000</v>
      </c>
      <c r="G397" s="1">
        <f t="shared" si="33"/>
        <v>12600</v>
      </c>
      <c r="H397" s="1">
        <f t="shared" si="34"/>
        <v>28350</v>
      </c>
      <c r="I397" s="1">
        <f>MAX(0,Table1[[#This Row],[Agi]]-Table1[[#This Row],[Exemptions]]-Table1[[#This Row],[Effective Deductions]])</f>
        <v>139050</v>
      </c>
      <c r="J3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26305</v>
      </c>
      <c r="K397" s="1">
        <f t="shared" si="35"/>
        <v>5000</v>
      </c>
      <c r="L397" s="1">
        <f>IF(Table1[[#This Row],[Agi]]&gt;ctc_phase_out_begins,ctc_phase_out_rate*(Table1[[#This Row],[Agi]]-ctc_phase_out_begins),0)</f>
        <v>3500</v>
      </c>
      <c r="M397" s="1">
        <f>MAX(Table1[[#This Row],[Child Tax Credit]]-Table1[[#This Row],[Child Tax Credit Phase Out]],0)</f>
        <v>1500</v>
      </c>
      <c r="N397" s="1">
        <f>MAX(Table1[[#This Row],[Regular Taxes Owed]]-Table1[[#This Row],[Effective Child Tax Credit]],0)</f>
        <v>24805</v>
      </c>
      <c r="O397" s="1">
        <f>MAX(MIN((Table1[[#This Row],[taxable wages]]-3000)*0.15,1000*num_kids_16_younger),0)</f>
        <v>5000</v>
      </c>
      <c r="P397" s="9">
        <f>IF(Table1[[#This Row],[Effective Child Tax Credit]]&gt;Table1[[#This Row],[Regular Taxes Owed]],Table1[[#This Row],[Additional Child Tax Credit ]]-Table1[[#This Row],[Regular Taxes Owed]],0)</f>
        <v>0</v>
      </c>
      <c r="Q3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7" s="1">
        <f>Table1[[#This Row],[Effective Additional Child Tax Credit]]+Table1[[#This Row],[Eitc]]</f>
        <v>0</v>
      </c>
      <c r="S397" s="9">
        <f>Table1[[#This Row],[Regular Taxes Owed - Effective Child Tax Credit]]-Table1[[#This Row],[Total Credits]]</f>
        <v>24805</v>
      </c>
      <c r="T397" s="9">
        <f>Table1[[#This Row],[taxable wages]]+interest+dividends+short_term_capital_gains+long_term_capital_gains-(charitable_donations+mortgage_interest)</f>
        <v>180000</v>
      </c>
      <c r="U397" s="9">
        <f>MAX(amt_exemption-amt_exemption_phase_out_rate*MAX(Table1[[#This Row],[taxable wages]]-amt_phase_out_begins,0),0)</f>
        <v>78725</v>
      </c>
      <c r="V3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26331.5</v>
      </c>
      <c r="W397" s="1">
        <f>IF(AND(Table1[[#This Row],[AMT Taxes]]&gt;Table1[[#This Row],[Regular Taxes Owed]],Table1[[#This Row],[AMT Taxes]]&gt;0),Table1[[#This Row],[AMT Taxes]]-Table1[[#This Row],[Regular Taxes Owed]],0)</f>
        <v>26.5</v>
      </c>
      <c r="X397" s="9">
        <f>Table1[[#This Row],[Extra Taxes From Amt]]+Table1[[#This Row],[Federal Taxes Owed (No AMT)]]</f>
        <v>24831.5</v>
      </c>
      <c r="Y397" s="9">
        <f>IF(Table1[[#This Row],[taxable wages]]&gt;obamacare_surcharge_amount,obamacare_surcharge_percent*(Table1[[#This Row],[taxable wages]]-obamacare_surcharge_amount),0)</f>
        <v>0</v>
      </c>
      <c r="Z397" s="9">
        <f>Table1[[#This Row],[Federal Taxes Owed (Includes AMT)]]+Table1[[#This Row],[Obamacare surcharge premium]]</f>
        <v>24831.5</v>
      </c>
      <c r="AA397" s="9">
        <f>Table1[[#This Row],[taxable wages]]-Table1[[#This Row],[Federal Taxes Owed2]]</f>
        <v>155168.5</v>
      </c>
      <c r="AB397" s="51">
        <f t="shared" si="36"/>
        <v>0.35299999999999998</v>
      </c>
      <c r="AC397" s="41"/>
      <c r="AD397" s="13"/>
      <c r="AE397" s="13"/>
    </row>
    <row r="398" spans="2:31" x14ac:dyDescent="0.3">
      <c r="B398" s="41">
        <f t="shared" si="37"/>
        <v>180500</v>
      </c>
      <c r="C398" s="1">
        <f>Table1[[#This Row],[taxable wages]]</f>
        <v>180500</v>
      </c>
      <c r="D398" s="1">
        <f>Table1[[#This Row],[taxable wages]]+interest+dividends+short_term_capital_gains+long_term_capital_gains</f>
        <v>180500</v>
      </c>
      <c r="E398" s="1">
        <f>MAX(Table1[[#This Row],[earned income for EITC]:[Agi For Eitc Calc]])</f>
        <v>180500</v>
      </c>
      <c r="F398" s="1">
        <f>Table1[[#This Row],[taxable wages]]+interest+dividends+short_term_capital_gains+long_term_capital_gains-(trad_ira_contributions+MIN(student_loan_interest_cap,student_loan_interest))</f>
        <v>180500</v>
      </c>
      <c r="G398" s="1">
        <f t="shared" si="33"/>
        <v>12600</v>
      </c>
      <c r="H398" s="1">
        <f t="shared" si="34"/>
        <v>28350</v>
      </c>
      <c r="I398" s="1">
        <f>MAX(0,Table1[[#This Row],[Agi]]-Table1[[#This Row],[Exemptions]]-Table1[[#This Row],[Effective Deductions]])</f>
        <v>139550</v>
      </c>
      <c r="J3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26430</v>
      </c>
      <c r="K398" s="1">
        <f t="shared" si="35"/>
        <v>5000</v>
      </c>
      <c r="L398" s="1">
        <f>IF(Table1[[#This Row],[Agi]]&gt;ctc_phase_out_begins,ctc_phase_out_rate*(Table1[[#This Row],[Agi]]-ctc_phase_out_begins),0)</f>
        <v>3525</v>
      </c>
      <c r="M398" s="1">
        <f>MAX(Table1[[#This Row],[Child Tax Credit]]-Table1[[#This Row],[Child Tax Credit Phase Out]],0)</f>
        <v>1475</v>
      </c>
      <c r="N398" s="1">
        <f>MAX(Table1[[#This Row],[Regular Taxes Owed]]-Table1[[#This Row],[Effective Child Tax Credit]],0)</f>
        <v>24955</v>
      </c>
      <c r="O398" s="1">
        <f>MAX(MIN((Table1[[#This Row],[taxable wages]]-3000)*0.15,1000*num_kids_16_younger),0)</f>
        <v>5000</v>
      </c>
      <c r="P398" s="9">
        <f>IF(Table1[[#This Row],[Effective Child Tax Credit]]&gt;Table1[[#This Row],[Regular Taxes Owed]],Table1[[#This Row],[Additional Child Tax Credit ]]-Table1[[#This Row],[Regular Taxes Owed]],0)</f>
        <v>0</v>
      </c>
      <c r="Q3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8" s="1">
        <f>Table1[[#This Row],[Effective Additional Child Tax Credit]]+Table1[[#This Row],[Eitc]]</f>
        <v>0</v>
      </c>
      <c r="S398" s="9">
        <f>Table1[[#This Row],[Regular Taxes Owed - Effective Child Tax Credit]]-Table1[[#This Row],[Total Credits]]</f>
        <v>24955</v>
      </c>
      <c r="T398" s="9">
        <f>Table1[[#This Row],[taxable wages]]+interest+dividends+short_term_capital_gains+long_term_capital_gains-(charitable_donations+mortgage_interest)</f>
        <v>180500</v>
      </c>
      <c r="U398" s="9">
        <f>MAX(amt_exemption-amt_exemption_phase_out_rate*MAX(Table1[[#This Row],[taxable wages]]-amt_phase_out_begins,0),0)</f>
        <v>78600</v>
      </c>
      <c r="V3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26494</v>
      </c>
      <c r="W398" s="1">
        <f>IF(AND(Table1[[#This Row],[AMT Taxes]]&gt;Table1[[#This Row],[Regular Taxes Owed]],Table1[[#This Row],[AMT Taxes]]&gt;0),Table1[[#This Row],[AMT Taxes]]-Table1[[#This Row],[Regular Taxes Owed]],0)</f>
        <v>64</v>
      </c>
      <c r="X398" s="9">
        <f>Table1[[#This Row],[Extra Taxes From Amt]]+Table1[[#This Row],[Federal Taxes Owed (No AMT)]]</f>
        <v>25019</v>
      </c>
      <c r="Y398" s="9">
        <f>IF(Table1[[#This Row],[taxable wages]]&gt;obamacare_surcharge_amount,obamacare_surcharge_percent*(Table1[[#This Row],[taxable wages]]-obamacare_surcharge_amount),0)</f>
        <v>0</v>
      </c>
      <c r="Z398" s="9">
        <f>Table1[[#This Row],[Federal Taxes Owed (Includes AMT)]]+Table1[[#This Row],[Obamacare surcharge premium]]</f>
        <v>25019</v>
      </c>
      <c r="AA398" s="9">
        <f>Table1[[#This Row],[taxable wages]]-Table1[[#This Row],[Federal Taxes Owed2]]</f>
        <v>155481</v>
      </c>
      <c r="AB398" s="51">
        <f t="shared" si="36"/>
        <v>0.375</v>
      </c>
      <c r="AC398" s="41"/>
      <c r="AD398" s="13"/>
      <c r="AE398" s="13"/>
    </row>
    <row r="399" spans="2:31" x14ac:dyDescent="0.3">
      <c r="B399" s="41">
        <f t="shared" si="37"/>
        <v>181000</v>
      </c>
      <c r="C399" s="1">
        <f>Table1[[#This Row],[taxable wages]]</f>
        <v>181000</v>
      </c>
      <c r="D399" s="1">
        <f>Table1[[#This Row],[taxable wages]]+interest+dividends+short_term_capital_gains+long_term_capital_gains</f>
        <v>181000</v>
      </c>
      <c r="E399" s="1">
        <f>MAX(Table1[[#This Row],[earned income for EITC]:[Agi For Eitc Calc]])</f>
        <v>181000</v>
      </c>
      <c r="F399" s="1">
        <f>Table1[[#This Row],[taxable wages]]+interest+dividends+short_term_capital_gains+long_term_capital_gains-(trad_ira_contributions+MIN(student_loan_interest_cap,student_loan_interest))</f>
        <v>181000</v>
      </c>
      <c r="G399" s="1">
        <f t="shared" si="33"/>
        <v>12600</v>
      </c>
      <c r="H399" s="1">
        <f t="shared" si="34"/>
        <v>28350</v>
      </c>
      <c r="I399" s="1">
        <f>MAX(0,Table1[[#This Row],[Agi]]-Table1[[#This Row],[Exemptions]]-Table1[[#This Row],[Effective Deductions]])</f>
        <v>140050</v>
      </c>
      <c r="J3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26555</v>
      </c>
      <c r="K399" s="1">
        <f t="shared" si="35"/>
        <v>5000</v>
      </c>
      <c r="L399" s="1">
        <f>IF(Table1[[#This Row],[Agi]]&gt;ctc_phase_out_begins,ctc_phase_out_rate*(Table1[[#This Row],[Agi]]-ctc_phase_out_begins),0)</f>
        <v>3550</v>
      </c>
      <c r="M399" s="1">
        <f>MAX(Table1[[#This Row],[Child Tax Credit]]-Table1[[#This Row],[Child Tax Credit Phase Out]],0)</f>
        <v>1450</v>
      </c>
      <c r="N399" s="1">
        <f>MAX(Table1[[#This Row],[Regular Taxes Owed]]-Table1[[#This Row],[Effective Child Tax Credit]],0)</f>
        <v>25105</v>
      </c>
      <c r="O399" s="1">
        <f>MAX(MIN((Table1[[#This Row],[taxable wages]]-3000)*0.15,1000*num_kids_16_younger),0)</f>
        <v>5000</v>
      </c>
      <c r="P399" s="9">
        <f>IF(Table1[[#This Row],[Effective Child Tax Credit]]&gt;Table1[[#This Row],[Regular Taxes Owed]],Table1[[#This Row],[Additional Child Tax Credit ]]-Table1[[#This Row],[Regular Taxes Owed]],0)</f>
        <v>0</v>
      </c>
      <c r="Q3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399" s="1">
        <f>Table1[[#This Row],[Effective Additional Child Tax Credit]]+Table1[[#This Row],[Eitc]]</f>
        <v>0</v>
      </c>
      <c r="S399" s="9">
        <f>Table1[[#This Row],[Regular Taxes Owed - Effective Child Tax Credit]]-Table1[[#This Row],[Total Credits]]</f>
        <v>25105</v>
      </c>
      <c r="T399" s="9">
        <f>Table1[[#This Row],[taxable wages]]+interest+dividends+short_term_capital_gains+long_term_capital_gains-(charitable_donations+mortgage_interest)</f>
        <v>181000</v>
      </c>
      <c r="U399" s="9">
        <f>MAX(amt_exemption-amt_exemption_phase_out_rate*MAX(Table1[[#This Row],[taxable wages]]-amt_phase_out_begins,0),0)</f>
        <v>78475</v>
      </c>
      <c r="V3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26656.5</v>
      </c>
      <c r="W399" s="1">
        <f>IF(AND(Table1[[#This Row],[AMT Taxes]]&gt;Table1[[#This Row],[Regular Taxes Owed]],Table1[[#This Row],[AMT Taxes]]&gt;0),Table1[[#This Row],[AMT Taxes]]-Table1[[#This Row],[Regular Taxes Owed]],0)</f>
        <v>101.5</v>
      </c>
      <c r="X399" s="9">
        <f>Table1[[#This Row],[Extra Taxes From Amt]]+Table1[[#This Row],[Federal Taxes Owed (No AMT)]]</f>
        <v>25206.5</v>
      </c>
      <c r="Y399" s="9">
        <f>IF(Table1[[#This Row],[taxable wages]]&gt;obamacare_surcharge_amount,obamacare_surcharge_percent*(Table1[[#This Row],[taxable wages]]-obamacare_surcharge_amount),0)</f>
        <v>0</v>
      </c>
      <c r="Z399" s="9">
        <f>Table1[[#This Row],[Federal Taxes Owed (Includes AMT)]]+Table1[[#This Row],[Obamacare surcharge premium]]</f>
        <v>25206.5</v>
      </c>
      <c r="AA399" s="9">
        <f>Table1[[#This Row],[taxable wages]]-Table1[[#This Row],[Federal Taxes Owed2]]</f>
        <v>155793.5</v>
      </c>
      <c r="AB399" s="51">
        <f t="shared" si="36"/>
        <v>0.375</v>
      </c>
      <c r="AC399" s="41"/>
      <c r="AD399" s="13"/>
      <c r="AE399" s="13"/>
    </row>
    <row r="400" spans="2:31" x14ac:dyDescent="0.3">
      <c r="B400" s="41">
        <f t="shared" si="37"/>
        <v>181500</v>
      </c>
      <c r="C400" s="1">
        <f>Table1[[#This Row],[taxable wages]]</f>
        <v>181500</v>
      </c>
      <c r="D400" s="1">
        <f>Table1[[#This Row],[taxable wages]]+interest+dividends+short_term_capital_gains+long_term_capital_gains</f>
        <v>181500</v>
      </c>
      <c r="E400" s="1">
        <f>MAX(Table1[[#This Row],[earned income for EITC]:[Agi For Eitc Calc]])</f>
        <v>181500</v>
      </c>
      <c r="F400" s="1">
        <f>Table1[[#This Row],[taxable wages]]+interest+dividends+short_term_capital_gains+long_term_capital_gains-(trad_ira_contributions+MIN(student_loan_interest_cap,student_loan_interest))</f>
        <v>181500</v>
      </c>
      <c r="G400" s="1">
        <f t="shared" si="33"/>
        <v>12600</v>
      </c>
      <c r="H400" s="1">
        <f t="shared" si="34"/>
        <v>28350</v>
      </c>
      <c r="I400" s="1">
        <f>MAX(0,Table1[[#This Row],[Agi]]-Table1[[#This Row],[Exemptions]]-Table1[[#This Row],[Effective Deductions]])</f>
        <v>140550</v>
      </c>
      <c r="J4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26680</v>
      </c>
      <c r="K400" s="1">
        <f t="shared" si="35"/>
        <v>5000</v>
      </c>
      <c r="L400" s="1">
        <f>IF(Table1[[#This Row],[Agi]]&gt;ctc_phase_out_begins,ctc_phase_out_rate*(Table1[[#This Row],[Agi]]-ctc_phase_out_begins),0)</f>
        <v>3575</v>
      </c>
      <c r="M400" s="1">
        <f>MAX(Table1[[#This Row],[Child Tax Credit]]-Table1[[#This Row],[Child Tax Credit Phase Out]],0)</f>
        <v>1425</v>
      </c>
      <c r="N400" s="1">
        <f>MAX(Table1[[#This Row],[Regular Taxes Owed]]-Table1[[#This Row],[Effective Child Tax Credit]],0)</f>
        <v>25255</v>
      </c>
      <c r="O400" s="1">
        <f>MAX(MIN((Table1[[#This Row],[taxable wages]]-3000)*0.15,1000*num_kids_16_younger),0)</f>
        <v>5000</v>
      </c>
      <c r="P400" s="9">
        <f>IF(Table1[[#This Row],[Effective Child Tax Credit]]&gt;Table1[[#This Row],[Regular Taxes Owed]],Table1[[#This Row],[Additional Child Tax Credit ]]-Table1[[#This Row],[Regular Taxes Owed]],0)</f>
        <v>0</v>
      </c>
      <c r="Q4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0" s="1">
        <f>Table1[[#This Row],[Effective Additional Child Tax Credit]]+Table1[[#This Row],[Eitc]]</f>
        <v>0</v>
      </c>
      <c r="S400" s="9">
        <f>Table1[[#This Row],[Regular Taxes Owed - Effective Child Tax Credit]]-Table1[[#This Row],[Total Credits]]</f>
        <v>25255</v>
      </c>
      <c r="T400" s="9">
        <f>Table1[[#This Row],[taxable wages]]+interest+dividends+short_term_capital_gains+long_term_capital_gains-(charitable_donations+mortgage_interest)</f>
        <v>181500</v>
      </c>
      <c r="U400" s="9">
        <f>MAX(amt_exemption-amt_exemption_phase_out_rate*MAX(Table1[[#This Row],[taxable wages]]-amt_phase_out_begins,0),0)</f>
        <v>78350</v>
      </c>
      <c r="V4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26819</v>
      </c>
      <c r="W400" s="1">
        <f>IF(AND(Table1[[#This Row],[AMT Taxes]]&gt;Table1[[#This Row],[Regular Taxes Owed]],Table1[[#This Row],[AMT Taxes]]&gt;0),Table1[[#This Row],[AMT Taxes]]-Table1[[#This Row],[Regular Taxes Owed]],0)</f>
        <v>139</v>
      </c>
      <c r="X400" s="9">
        <f>Table1[[#This Row],[Extra Taxes From Amt]]+Table1[[#This Row],[Federal Taxes Owed (No AMT)]]</f>
        <v>25394</v>
      </c>
      <c r="Y400" s="9">
        <f>IF(Table1[[#This Row],[taxable wages]]&gt;obamacare_surcharge_amount,obamacare_surcharge_percent*(Table1[[#This Row],[taxable wages]]-obamacare_surcharge_amount),0)</f>
        <v>0</v>
      </c>
      <c r="Z400" s="9">
        <f>Table1[[#This Row],[Federal Taxes Owed (Includes AMT)]]+Table1[[#This Row],[Obamacare surcharge premium]]</f>
        <v>25394</v>
      </c>
      <c r="AA400" s="9">
        <f>Table1[[#This Row],[taxable wages]]-Table1[[#This Row],[Federal Taxes Owed2]]</f>
        <v>156106</v>
      </c>
      <c r="AB400" s="51">
        <f t="shared" si="36"/>
        <v>0.375</v>
      </c>
      <c r="AC400" s="41"/>
      <c r="AD400" s="13"/>
      <c r="AE400" s="13"/>
    </row>
    <row r="401" spans="2:31" x14ac:dyDescent="0.3">
      <c r="B401" s="41">
        <f t="shared" si="37"/>
        <v>182000</v>
      </c>
      <c r="C401" s="1">
        <f>Table1[[#This Row],[taxable wages]]</f>
        <v>182000</v>
      </c>
      <c r="D401" s="1">
        <f>Table1[[#This Row],[taxable wages]]+interest+dividends+short_term_capital_gains+long_term_capital_gains</f>
        <v>182000</v>
      </c>
      <c r="E401" s="1">
        <f>MAX(Table1[[#This Row],[earned income for EITC]:[Agi For Eitc Calc]])</f>
        <v>182000</v>
      </c>
      <c r="F401" s="1">
        <f>Table1[[#This Row],[taxable wages]]+interest+dividends+short_term_capital_gains+long_term_capital_gains-(trad_ira_contributions+MIN(student_loan_interest_cap,student_loan_interest))</f>
        <v>182000</v>
      </c>
      <c r="G401" s="1">
        <f t="shared" si="33"/>
        <v>12600</v>
      </c>
      <c r="H401" s="1">
        <f t="shared" si="34"/>
        <v>28350</v>
      </c>
      <c r="I401" s="1">
        <f>MAX(0,Table1[[#This Row],[Agi]]-Table1[[#This Row],[Exemptions]]-Table1[[#This Row],[Effective Deductions]])</f>
        <v>141050</v>
      </c>
      <c r="J4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26805</v>
      </c>
      <c r="K401" s="1">
        <f t="shared" si="35"/>
        <v>5000</v>
      </c>
      <c r="L401" s="1">
        <f>IF(Table1[[#This Row],[Agi]]&gt;ctc_phase_out_begins,ctc_phase_out_rate*(Table1[[#This Row],[Agi]]-ctc_phase_out_begins),0)</f>
        <v>3600</v>
      </c>
      <c r="M401" s="1">
        <f>MAX(Table1[[#This Row],[Child Tax Credit]]-Table1[[#This Row],[Child Tax Credit Phase Out]],0)</f>
        <v>1400</v>
      </c>
      <c r="N401" s="1">
        <f>MAX(Table1[[#This Row],[Regular Taxes Owed]]-Table1[[#This Row],[Effective Child Tax Credit]],0)</f>
        <v>25405</v>
      </c>
      <c r="O401" s="1">
        <f>MAX(MIN((Table1[[#This Row],[taxable wages]]-3000)*0.15,1000*num_kids_16_younger),0)</f>
        <v>5000</v>
      </c>
      <c r="P401" s="9">
        <f>IF(Table1[[#This Row],[Effective Child Tax Credit]]&gt;Table1[[#This Row],[Regular Taxes Owed]],Table1[[#This Row],[Additional Child Tax Credit ]]-Table1[[#This Row],[Regular Taxes Owed]],0)</f>
        <v>0</v>
      </c>
      <c r="Q4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1" s="1">
        <f>Table1[[#This Row],[Effective Additional Child Tax Credit]]+Table1[[#This Row],[Eitc]]</f>
        <v>0</v>
      </c>
      <c r="S401" s="9">
        <f>Table1[[#This Row],[Regular Taxes Owed - Effective Child Tax Credit]]-Table1[[#This Row],[Total Credits]]</f>
        <v>25405</v>
      </c>
      <c r="T401" s="9">
        <f>Table1[[#This Row],[taxable wages]]+interest+dividends+short_term_capital_gains+long_term_capital_gains-(charitable_donations+mortgage_interest)</f>
        <v>182000</v>
      </c>
      <c r="U401" s="9">
        <f>MAX(amt_exemption-amt_exemption_phase_out_rate*MAX(Table1[[#This Row],[taxable wages]]-amt_phase_out_begins,0),0)</f>
        <v>78225</v>
      </c>
      <c r="V4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26981.5</v>
      </c>
      <c r="W401" s="1">
        <f>IF(AND(Table1[[#This Row],[AMT Taxes]]&gt;Table1[[#This Row],[Regular Taxes Owed]],Table1[[#This Row],[AMT Taxes]]&gt;0),Table1[[#This Row],[AMT Taxes]]-Table1[[#This Row],[Regular Taxes Owed]],0)</f>
        <v>176.5</v>
      </c>
      <c r="X401" s="9">
        <f>Table1[[#This Row],[Extra Taxes From Amt]]+Table1[[#This Row],[Federal Taxes Owed (No AMT)]]</f>
        <v>25581.5</v>
      </c>
      <c r="Y401" s="9">
        <f>IF(Table1[[#This Row],[taxable wages]]&gt;obamacare_surcharge_amount,obamacare_surcharge_percent*(Table1[[#This Row],[taxable wages]]-obamacare_surcharge_amount),0)</f>
        <v>0</v>
      </c>
      <c r="Z401" s="9">
        <f>Table1[[#This Row],[Federal Taxes Owed (Includes AMT)]]+Table1[[#This Row],[Obamacare surcharge premium]]</f>
        <v>25581.5</v>
      </c>
      <c r="AA401" s="9">
        <f>Table1[[#This Row],[taxable wages]]-Table1[[#This Row],[Federal Taxes Owed2]]</f>
        <v>156418.5</v>
      </c>
      <c r="AB401" s="51">
        <f t="shared" si="36"/>
        <v>0.375</v>
      </c>
      <c r="AC401" s="41"/>
      <c r="AD401" s="13"/>
      <c r="AE401" s="13"/>
    </row>
    <row r="402" spans="2:31" x14ac:dyDescent="0.3">
      <c r="B402" s="41">
        <f t="shared" si="37"/>
        <v>182500</v>
      </c>
      <c r="C402" s="1">
        <f>Table1[[#This Row],[taxable wages]]</f>
        <v>182500</v>
      </c>
      <c r="D402" s="1">
        <f>Table1[[#This Row],[taxable wages]]+interest+dividends+short_term_capital_gains+long_term_capital_gains</f>
        <v>182500</v>
      </c>
      <c r="E402" s="1">
        <f>MAX(Table1[[#This Row],[earned income for EITC]:[Agi For Eitc Calc]])</f>
        <v>182500</v>
      </c>
      <c r="F402" s="1">
        <f>Table1[[#This Row],[taxable wages]]+interest+dividends+short_term_capital_gains+long_term_capital_gains-(trad_ira_contributions+MIN(student_loan_interest_cap,student_loan_interest))</f>
        <v>182500</v>
      </c>
      <c r="G402" s="1">
        <f t="shared" si="33"/>
        <v>12600</v>
      </c>
      <c r="H402" s="1">
        <f t="shared" si="34"/>
        <v>28350</v>
      </c>
      <c r="I402" s="1">
        <f>MAX(0,Table1[[#This Row],[Agi]]-Table1[[#This Row],[Exemptions]]-Table1[[#This Row],[Effective Deductions]])</f>
        <v>141550</v>
      </c>
      <c r="J4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26930</v>
      </c>
      <c r="K402" s="1">
        <f t="shared" si="35"/>
        <v>5000</v>
      </c>
      <c r="L402" s="1">
        <f>IF(Table1[[#This Row],[Agi]]&gt;ctc_phase_out_begins,ctc_phase_out_rate*(Table1[[#This Row],[Agi]]-ctc_phase_out_begins),0)</f>
        <v>3625</v>
      </c>
      <c r="M402" s="1">
        <f>MAX(Table1[[#This Row],[Child Tax Credit]]-Table1[[#This Row],[Child Tax Credit Phase Out]],0)</f>
        <v>1375</v>
      </c>
      <c r="N402" s="1">
        <f>MAX(Table1[[#This Row],[Regular Taxes Owed]]-Table1[[#This Row],[Effective Child Tax Credit]],0)</f>
        <v>25555</v>
      </c>
      <c r="O402" s="1">
        <f>MAX(MIN((Table1[[#This Row],[taxable wages]]-3000)*0.15,1000*num_kids_16_younger),0)</f>
        <v>5000</v>
      </c>
      <c r="P402" s="9">
        <f>IF(Table1[[#This Row],[Effective Child Tax Credit]]&gt;Table1[[#This Row],[Regular Taxes Owed]],Table1[[#This Row],[Additional Child Tax Credit ]]-Table1[[#This Row],[Regular Taxes Owed]],0)</f>
        <v>0</v>
      </c>
      <c r="Q4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2" s="1">
        <f>Table1[[#This Row],[Effective Additional Child Tax Credit]]+Table1[[#This Row],[Eitc]]</f>
        <v>0</v>
      </c>
      <c r="S402" s="9">
        <f>Table1[[#This Row],[Regular Taxes Owed - Effective Child Tax Credit]]-Table1[[#This Row],[Total Credits]]</f>
        <v>25555</v>
      </c>
      <c r="T402" s="9">
        <f>Table1[[#This Row],[taxable wages]]+interest+dividends+short_term_capital_gains+long_term_capital_gains-(charitable_donations+mortgage_interest)</f>
        <v>182500</v>
      </c>
      <c r="U402" s="9">
        <f>MAX(amt_exemption-amt_exemption_phase_out_rate*MAX(Table1[[#This Row],[taxable wages]]-amt_phase_out_begins,0),0)</f>
        <v>78100</v>
      </c>
      <c r="V4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27144</v>
      </c>
      <c r="W402" s="1">
        <f>IF(AND(Table1[[#This Row],[AMT Taxes]]&gt;Table1[[#This Row],[Regular Taxes Owed]],Table1[[#This Row],[AMT Taxes]]&gt;0),Table1[[#This Row],[AMT Taxes]]-Table1[[#This Row],[Regular Taxes Owed]],0)</f>
        <v>214</v>
      </c>
      <c r="X402" s="9">
        <f>Table1[[#This Row],[Extra Taxes From Amt]]+Table1[[#This Row],[Federal Taxes Owed (No AMT)]]</f>
        <v>25769</v>
      </c>
      <c r="Y402" s="9">
        <f>IF(Table1[[#This Row],[taxable wages]]&gt;obamacare_surcharge_amount,obamacare_surcharge_percent*(Table1[[#This Row],[taxable wages]]-obamacare_surcharge_amount),0)</f>
        <v>0</v>
      </c>
      <c r="Z402" s="9">
        <f>Table1[[#This Row],[Federal Taxes Owed (Includes AMT)]]+Table1[[#This Row],[Obamacare surcharge premium]]</f>
        <v>25769</v>
      </c>
      <c r="AA402" s="9">
        <f>Table1[[#This Row],[taxable wages]]-Table1[[#This Row],[Federal Taxes Owed2]]</f>
        <v>156731</v>
      </c>
      <c r="AB402" s="51">
        <f t="shared" si="36"/>
        <v>0.375</v>
      </c>
      <c r="AC402" s="41"/>
      <c r="AD402" s="13"/>
      <c r="AE402" s="13"/>
    </row>
    <row r="403" spans="2:31" x14ac:dyDescent="0.3">
      <c r="B403" s="41">
        <f t="shared" si="37"/>
        <v>183000</v>
      </c>
      <c r="C403" s="1">
        <f>Table1[[#This Row],[taxable wages]]</f>
        <v>183000</v>
      </c>
      <c r="D403" s="1">
        <f>Table1[[#This Row],[taxable wages]]+interest+dividends+short_term_capital_gains+long_term_capital_gains</f>
        <v>183000</v>
      </c>
      <c r="E403" s="1">
        <f>MAX(Table1[[#This Row],[earned income for EITC]:[Agi For Eitc Calc]])</f>
        <v>183000</v>
      </c>
      <c r="F403" s="1">
        <f>Table1[[#This Row],[taxable wages]]+interest+dividends+short_term_capital_gains+long_term_capital_gains-(trad_ira_contributions+MIN(student_loan_interest_cap,student_loan_interest))</f>
        <v>183000</v>
      </c>
      <c r="G403" s="1">
        <f t="shared" si="33"/>
        <v>12600</v>
      </c>
      <c r="H403" s="1">
        <f t="shared" si="34"/>
        <v>28350</v>
      </c>
      <c r="I403" s="1">
        <f>MAX(0,Table1[[#This Row],[Agi]]-Table1[[#This Row],[Exemptions]]-Table1[[#This Row],[Effective Deductions]])</f>
        <v>142050</v>
      </c>
      <c r="J4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27055</v>
      </c>
      <c r="K403" s="1">
        <f t="shared" si="35"/>
        <v>5000</v>
      </c>
      <c r="L403" s="1">
        <f>IF(Table1[[#This Row],[Agi]]&gt;ctc_phase_out_begins,ctc_phase_out_rate*(Table1[[#This Row],[Agi]]-ctc_phase_out_begins),0)</f>
        <v>3650</v>
      </c>
      <c r="M403" s="1">
        <f>MAX(Table1[[#This Row],[Child Tax Credit]]-Table1[[#This Row],[Child Tax Credit Phase Out]],0)</f>
        <v>1350</v>
      </c>
      <c r="N403" s="1">
        <f>MAX(Table1[[#This Row],[Regular Taxes Owed]]-Table1[[#This Row],[Effective Child Tax Credit]],0)</f>
        <v>25705</v>
      </c>
      <c r="O403" s="1">
        <f>MAX(MIN((Table1[[#This Row],[taxable wages]]-3000)*0.15,1000*num_kids_16_younger),0)</f>
        <v>5000</v>
      </c>
      <c r="P403" s="9">
        <f>IF(Table1[[#This Row],[Effective Child Tax Credit]]&gt;Table1[[#This Row],[Regular Taxes Owed]],Table1[[#This Row],[Additional Child Tax Credit ]]-Table1[[#This Row],[Regular Taxes Owed]],0)</f>
        <v>0</v>
      </c>
      <c r="Q4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3" s="1">
        <f>Table1[[#This Row],[Effective Additional Child Tax Credit]]+Table1[[#This Row],[Eitc]]</f>
        <v>0</v>
      </c>
      <c r="S403" s="9">
        <f>Table1[[#This Row],[Regular Taxes Owed - Effective Child Tax Credit]]-Table1[[#This Row],[Total Credits]]</f>
        <v>25705</v>
      </c>
      <c r="T403" s="9">
        <f>Table1[[#This Row],[taxable wages]]+interest+dividends+short_term_capital_gains+long_term_capital_gains-(charitable_donations+mortgage_interest)</f>
        <v>183000</v>
      </c>
      <c r="U403" s="9">
        <f>MAX(amt_exemption-amt_exemption_phase_out_rate*MAX(Table1[[#This Row],[taxable wages]]-amt_phase_out_begins,0),0)</f>
        <v>77975</v>
      </c>
      <c r="V4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27306.5</v>
      </c>
      <c r="W403" s="1">
        <f>IF(AND(Table1[[#This Row],[AMT Taxes]]&gt;Table1[[#This Row],[Regular Taxes Owed]],Table1[[#This Row],[AMT Taxes]]&gt;0),Table1[[#This Row],[AMT Taxes]]-Table1[[#This Row],[Regular Taxes Owed]],0)</f>
        <v>251.5</v>
      </c>
      <c r="X403" s="9">
        <f>Table1[[#This Row],[Extra Taxes From Amt]]+Table1[[#This Row],[Federal Taxes Owed (No AMT)]]</f>
        <v>25956.5</v>
      </c>
      <c r="Y403" s="9">
        <f>IF(Table1[[#This Row],[taxable wages]]&gt;obamacare_surcharge_amount,obamacare_surcharge_percent*(Table1[[#This Row],[taxable wages]]-obamacare_surcharge_amount),0)</f>
        <v>0</v>
      </c>
      <c r="Z403" s="9">
        <f>Table1[[#This Row],[Federal Taxes Owed (Includes AMT)]]+Table1[[#This Row],[Obamacare surcharge premium]]</f>
        <v>25956.5</v>
      </c>
      <c r="AA403" s="9">
        <f>Table1[[#This Row],[taxable wages]]-Table1[[#This Row],[Federal Taxes Owed2]]</f>
        <v>157043.5</v>
      </c>
      <c r="AB403" s="51">
        <f t="shared" si="36"/>
        <v>0.375</v>
      </c>
      <c r="AC403" s="41"/>
      <c r="AD403" s="13"/>
      <c r="AE403" s="13"/>
    </row>
    <row r="404" spans="2:31" x14ac:dyDescent="0.3">
      <c r="B404" s="41">
        <f t="shared" si="37"/>
        <v>183500</v>
      </c>
      <c r="C404" s="1">
        <f>Table1[[#This Row],[taxable wages]]</f>
        <v>183500</v>
      </c>
      <c r="D404" s="1">
        <f>Table1[[#This Row],[taxable wages]]+interest+dividends+short_term_capital_gains+long_term_capital_gains</f>
        <v>183500</v>
      </c>
      <c r="E404" s="1">
        <f>MAX(Table1[[#This Row],[earned income for EITC]:[Agi For Eitc Calc]])</f>
        <v>183500</v>
      </c>
      <c r="F404" s="1">
        <f>Table1[[#This Row],[taxable wages]]+interest+dividends+short_term_capital_gains+long_term_capital_gains-(trad_ira_contributions+MIN(student_loan_interest_cap,student_loan_interest))</f>
        <v>183500</v>
      </c>
      <c r="G404" s="1">
        <f t="shared" si="33"/>
        <v>12600</v>
      </c>
      <c r="H404" s="1">
        <f t="shared" si="34"/>
        <v>28350</v>
      </c>
      <c r="I404" s="1">
        <f>MAX(0,Table1[[#This Row],[Agi]]-Table1[[#This Row],[Exemptions]]-Table1[[#This Row],[Effective Deductions]])</f>
        <v>142550</v>
      </c>
      <c r="J4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27180</v>
      </c>
      <c r="K404" s="1">
        <f t="shared" si="35"/>
        <v>5000</v>
      </c>
      <c r="L404" s="1">
        <f>IF(Table1[[#This Row],[Agi]]&gt;ctc_phase_out_begins,ctc_phase_out_rate*(Table1[[#This Row],[Agi]]-ctc_phase_out_begins),0)</f>
        <v>3675</v>
      </c>
      <c r="M404" s="1">
        <f>MAX(Table1[[#This Row],[Child Tax Credit]]-Table1[[#This Row],[Child Tax Credit Phase Out]],0)</f>
        <v>1325</v>
      </c>
      <c r="N404" s="1">
        <f>MAX(Table1[[#This Row],[Regular Taxes Owed]]-Table1[[#This Row],[Effective Child Tax Credit]],0)</f>
        <v>25855</v>
      </c>
      <c r="O404" s="1">
        <f>MAX(MIN((Table1[[#This Row],[taxable wages]]-3000)*0.15,1000*num_kids_16_younger),0)</f>
        <v>5000</v>
      </c>
      <c r="P404" s="9">
        <f>IF(Table1[[#This Row],[Effective Child Tax Credit]]&gt;Table1[[#This Row],[Regular Taxes Owed]],Table1[[#This Row],[Additional Child Tax Credit ]]-Table1[[#This Row],[Regular Taxes Owed]],0)</f>
        <v>0</v>
      </c>
      <c r="Q4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4" s="1">
        <f>Table1[[#This Row],[Effective Additional Child Tax Credit]]+Table1[[#This Row],[Eitc]]</f>
        <v>0</v>
      </c>
      <c r="S404" s="9">
        <f>Table1[[#This Row],[Regular Taxes Owed - Effective Child Tax Credit]]-Table1[[#This Row],[Total Credits]]</f>
        <v>25855</v>
      </c>
      <c r="T404" s="9">
        <f>Table1[[#This Row],[taxable wages]]+interest+dividends+short_term_capital_gains+long_term_capital_gains-(charitable_donations+mortgage_interest)</f>
        <v>183500</v>
      </c>
      <c r="U404" s="9">
        <f>MAX(amt_exemption-amt_exemption_phase_out_rate*MAX(Table1[[#This Row],[taxable wages]]-amt_phase_out_begins,0),0)</f>
        <v>77850</v>
      </c>
      <c r="V4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27469</v>
      </c>
      <c r="W404" s="1">
        <f>IF(AND(Table1[[#This Row],[AMT Taxes]]&gt;Table1[[#This Row],[Regular Taxes Owed]],Table1[[#This Row],[AMT Taxes]]&gt;0),Table1[[#This Row],[AMT Taxes]]-Table1[[#This Row],[Regular Taxes Owed]],0)</f>
        <v>289</v>
      </c>
      <c r="X404" s="9">
        <f>Table1[[#This Row],[Extra Taxes From Amt]]+Table1[[#This Row],[Federal Taxes Owed (No AMT)]]</f>
        <v>26144</v>
      </c>
      <c r="Y404" s="9">
        <f>IF(Table1[[#This Row],[taxable wages]]&gt;obamacare_surcharge_amount,obamacare_surcharge_percent*(Table1[[#This Row],[taxable wages]]-obamacare_surcharge_amount),0)</f>
        <v>0</v>
      </c>
      <c r="Z404" s="9">
        <f>Table1[[#This Row],[Federal Taxes Owed (Includes AMT)]]+Table1[[#This Row],[Obamacare surcharge premium]]</f>
        <v>26144</v>
      </c>
      <c r="AA404" s="9">
        <f>Table1[[#This Row],[taxable wages]]-Table1[[#This Row],[Federal Taxes Owed2]]</f>
        <v>157356</v>
      </c>
      <c r="AB404" s="51">
        <f t="shared" si="36"/>
        <v>0.375</v>
      </c>
      <c r="AC404" s="41"/>
      <c r="AD404" s="13"/>
      <c r="AE404" s="13"/>
    </row>
    <row r="405" spans="2:31" x14ac:dyDescent="0.3">
      <c r="B405" s="41">
        <f t="shared" si="37"/>
        <v>184000</v>
      </c>
      <c r="C405" s="1">
        <f>Table1[[#This Row],[taxable wages]]</f>
        <v>184000</v>
      </c>
      <c r="D405" s="1">
        <f>Table1[[#This Row],[taxable wages]]+interest+dividends+short_term_capital_gains+long_term_capital_gains</f>
        <v>184000</v>
      </c>
      <c r="E405" s="1">
        <f>MAX(Table1[[#This Row],[earned income for EITC]:[Agi For Eitc Calc]])</f>
        <v>184000</v>
      </c>
      <c r="F405" s="1">
        <f>Table1[[#This Row],[taxable wages]]+interest+dividends+short_term_capital_gains+long_term_capital_gains-(trad_ira_contributions+MIN(student_loan_interest_cap,student_loan_interest))</f>
        <v>184000</v>
      </c>
      <c r="G405" s="1">
        <f t="shared" si="33"/>
        <v>12600</v>
      </c>
      <c r="H405" s="1">
        <f t="shared" si="34"/>
        <v>28350</v>
      </c>
      <c r="I405" s="1">
        <f>MAX(0,Table1[[#This Row],[Agi]]-Table1[[#This Row],[Exemptions]]-Table1[[#This Row],[Effective Deductions]])</f>
        <v>143050</v>
      </c>
      <c r="J4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27305</v>
      </c>
      <c r="K405" s="1">
        <f t="shared" si="35"/>
        <v>5000</v>
      </c>
      <c r="L405" s="1">
        <f>IF(Table1[[#This Row],[Agi]]&gt;ctc_phase_out_begins,ctc_phase_out_rate*(Table1[[#This Row],[Agi]]-ctc_phase_out_begins),0)</f>
        <v>3700</v>
      </c>
      <c r="M405" s="1">
        <f>MAX(Table1[[#This Row],[Child Tax Credit]]-Table1[[#This Row],[Child Tax Credit Phase Out]],0)</f>
        <v>1300</v>
      </c>
      <c r="N405" s="1">
        <f>MAX(Table1[[#This Row],[Regular Taxes Owed]]-Table1[[#This Row],[Effective Child Tax Credit]],0)</f>
        <v>26005</v>
      </c>
      <c r="O405" s="1">
        <f>MAX(MIN((Table1[[#This Row],[taxable wages]]-3000)*0.15,1000*num_kids_16_younger),0)</f>
        <v>5000</v>
      </c>
      <c r="P405" s="9">
        <f>IF(Table1[[#This Row],[Effective Child Tax Credit]]&gt;Table1[[#This Row],[Regular Taxes Owed]],Table1[[#This Row],[Additional Child Tax Credit ]]-Table1[[#This Row],[Regular Taxes Owed]],0)</f>
        <v>0</v>
      </c>
      <c r="Q4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5" s="1">
        <f>Table1[[#This Row],[Effective Additional Child Tax Credit]]+Table1[[#This Row],[Eitc]]</f>
        <v>0</v>
      </c>
      <c r="S405" s="9">
        <f>Table1[[#This Row],[Regular Taxes Owed - Effective Child Tax Credit]]-Table1[[#This Row],[Total Credits]]</f>
        <v>26005</v>
      </c>
      <c r="T405" s="9">
        <f>Table1[[#This Row],[taxable wages]]+interest+dividends+short_term_capital_gains+long_term_capital_gains-(charitable_donations+mortgage_interest)</f>
        <v>184000</v>
      </c>
      <c r="U405" s="9">
        <f>MAX(amt_exemption-amt_exemption_phase_out_rate*MAX(Table1[[#This Row],[taxable wages]]-amt_phase_out_begins,0),0)</f>
        <v>77725</v>
      </c>
      <c r="V4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27631.5</v>
      </c>
      <c r="W405" s="1">
        <f>IF(AND(Table1[[#This Row],[AMT Taxes]]&gt;Table1[[#This Row],[Regular Taxes Owed]],Table1[[#This Row],[AMT Taxes]]&gt;0),Table1[[#This Row],[AMT Taxes]]-Table1[[#This Row],[Regular Taxes Owed]],0)</f>
        <v>326.5</v>
      </c>
      <c r="X405" s="9">
        <f>Table1[[#This Row],[Extra Taxes From Amt]]+Table1[[#This Row],[Federal Taxes Owed (No AMT)]]</f>
        <v>26331.5</v>
      </c>
      <c r="Y405" s="9">
        <f>IF(Table1[[#This Row],[taxable wages]]&gt;obamacare_surcharge_amount,obamacare_surcharge_percent*(Table1[[#This Row],[taxable wages]]-obamacare_surcharge_amount),0)</f>
        <v>0</v>
      </c>
      <c r="Z405" s="9">
        <f>Table1[[#This Row],[Federal Taxes Owed (Includes AMT)]]+Table1[[#This Row],[Obamacare surcharge premium]]</f>
        <v>26331.5</v>
      </c>
      <c r="AA405" s="9">
        <f>Table1[[#This Row],[taxable wages]]-Table1[[#This Row],[Federal Taxes Owed2]]</f>
        <v>157668.5</v>
      </c>
      <c r="AB405" s="51">
        <f t="shared" si="36"/>
        <v>0.375</v>
      </c>
      <c r="AC405" s="41"/>
      <c r="AD405" s="13"/>
      <c r="AE405" s="13"/>
    </row>
    <row r="406" spans="2:31" x14ac:dyDescent="0.3">
      <c r="B406" s="41">
        <f t="shared" si="37"/>
        <v>184500</v>
      </c>
      <c r="C406" s="1">
        <f>Table1[[#This Row],[taxable wages]]</f>
        <v>184500</v>
      </c>
      <c r="D406" s="1">
        <f>Table1[[#This Row],[taxable wages]]+interest+dividends+short_term_capital_gains+long_term_capital_gains</f>
        <v>184500</v>
      </c>
      <c r="E406" s="1">
        <f>MAX(Table1[[#This Row],[earned income for EITC]:[Agi For Eitc Calc]])</f>
        <v>184500</v>
      </c>
      <c r="F406" s="1">
        <f>Table1[[#This Row],[taxable wages]]+interest+dividends+short_term_capital_gains+long_term_capital_gains-(trad_ira_contributions+MIN(student_loan_interest_cap,student_loan_interest))</f>
        <v>184500</v>
      </c>
      <c r="G406" s="1">
        <f t="shared" si="33"/>
        <v>12600</v>
      </c>
      <c r="H406" s="1">
        <f t="shared" si="34"/>
        <v>28350</v>
      </c>
      <c r="I406" s="1">
        <f>MAX(0,Table1[[#This Row],[Agi]]-Table1[[#This Row],[Exemptions]]-Table1[[#This Row],[Effective Deductions]])</f>
        <v>143550</v>
      </c>
      <c r="J4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27430</v>
      </c>
      <c r="K406" s="1">
        <f t="shared" si="35"/>
        <v>5000</v>
      </c>
      <c r="L406" s="1">
        <f>IF(Table1[[#This Row],[Agi]]&gt;ctc_phase_out_begins,ctc_phase_out_rate*(Table1[[#This Row],[Agi]]-ctc_phase_out_begins),0)</f>
        <v>3725</v>
      </c>
      <c r="M406" s="1">
        <f>MAX(Table1[[#This Row],[Child Tax Credit]]-Table1[[#This Row],[Child Tax Credit Phase Out]],0)</f>
        <v>1275</v>
      </c>
      <c r="N406" s="1">
        <f>MAX(Table1[[#This Row],[Regular Taxes Owed]]-Table1[[#This Row],[Effective Child Tax Credit]],0)</f>
        <v>26155</v>
      </c>
      <c r="O406" s="1">
        <f>MAX(MIN((Table1[[#This Row],[taxable wages]]-3000)*0.15,1000*num_kids_16_younger),0)</f>
        <v>5000</v>
      </c>
      <c r="P406" s="9">
        <f>IF(Table1[[#This Row],[Effective Child Tax Credit]]&gt;Table1[[#This Row],[Regular Taxes Owed]],Table1[[#This Row],[Additional Child Tax Credit ]]-Table1[[#This Row],[Regular Taxes Owed]],0)</f>
        <v>0</v>
      </c>
      <c r="Q4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6" s="1">
        <f>Table1[[#This Row],[Effective Additional Child Tax Credit]]+Table1[[#This Row],[Eitc]]</f>
        <v>0</v>
      </c>
      <c r="S406" s="9">
        <f>Table1[[#This Row],[Regular Taxes Owed - Effective Child Tax Credit]]-Table1[[#This Row],[Total Credits]]</f>
        <v>26155</v>
      </c>
      <c r="T406" s="9">
        <f>Table1[[#This Row],[taxable wages]]+interest+dividends+short_term_capital_gains+long_term_capital_gains-(charitable_donations+mortgage_interest)</f>
        <v>184500</v>
      </c>
      <c r="U406" s="9">
        <f>MAX(amt_exemption-amt_exemption_phase_out_rate*MAX(Table1[[#This Row],[taxable wages]]-amt_phase_out_begins,0),0)</f>
        <v>77600</v>
      </c>
      <c r="V4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27794</v>
      </c>
      <c r="W406" s="1">
        <f>IF(AND(Table1[[#This Row],[AMT Taxes]]&gt;Table1[[#This Row],[Regular Taxes Owed]],Table1[[#This Row],[AMT Taxes]]&gt;0),Table1[[#This Row],[AMT Taxes]]-Table1[[#This Row],[Regular Taxes Owed]],0)</f>
        <v>364</v>
      </c>
      <c r="X406" s="9">
        <f>Table1[[#This Row],[Extra Taxes From Amt]]+Table1[[#This Row],[Federal Taxes Owed (No AMT)]]</f>
        <v>26519</v>
      </c>
      <c r="Y406" s="9">
        <f>IF(Table1[[#This Row],[taxable wages]]&gt;obamacare_surcharge_amount,obamacare_surcharge_percent*(Table1[[#This Row],[taxable wages]]-obamacare_surcharge_amount),0)</f>
        <v>0</v>
      </c>
      <c r="Z406" s="9">
        <f>Table1[[#This Row],[Federal Taxes Owed (Includes AMT)]]+Table1[[#This Row],[Obamacare surcharge premium]]</f>
        <v>26519</v>
      </c>
      <c r="AA406" s="9">
        <f>Table1[[#This Row],[taxable wages]]-Table1[[#This Row],[Federal Taxes Owed2]]</f>
        <v>157981</v>
      </c>
      <c r="AB406" s="51">
        <f t="shared" si="36"/>
        <v>0.375</v>
      </c>
      <c r="AC406" s="41"/>
      <c r="AD406" s="13"/>
      <c r="AE406" s="13"/>
    </row>
    <row r="407" spans="2:31" x14ac:dyDescent="0.3">
      <c r="B407" s="41">
        <f t="shared" si="37"/>
        <v>185000</v>
      </c>
      <c r="C407" s="1">
        <f>Table1[[#This Row],[taxable wages]]</f>
        <v>185000</v>
      </c>
      <c r="D407" s="1">
        <f>Table1[[#This Row],[taxable wages]]+interest+dividends+short_term_capital_gains+long_term_capital_gains</f>
        <v>185000</v>
      </c>
      <c r="E407" s="1">
        <f>MAX(Table1[[#This Row],[earned income for EITC]:[Agi For Eitc Calc]])</f>
        <v>185000</v>
      </c>
      <c r="F407" s="1">
        <f>Table1[[#This Row],[taxable wages]]+interest+dividends+short_term_capital_gains+long_term_capital_gains-(trad_ira_contributions+MIN(student_loan_interest_cap,student_loan_interest))</f>
        <v>185000</v>
      </c>
      <c r="G407" s="1">
        <f t="shared" si="33"/>
        <v>12600</v>
      </c>
      <c r="H407" s="1">
        <f t="shared" si="34"/>
        <v>28350</v>
      </c>
      <c r="I407" s="1">
        <f>MAX(0,Table1[[#This Row],[Agi]]-Table1[[#This Row],[Exemptions]]-Table1[[#This Row],[Effective Deductions]])</f>
        <v>144050</v>
      </c>
      <c r="J4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27555</v>
      </c>
      <c r="K407" s="1">
        <f t="shared" si="35"/>
        <v>5000</v>
      </c>
      <c r="L407" s="1">
        <f>IF(Table1[[#This Row],[Agi]]&gt;ctc_phase_out_begins,ctc_phase_out_rate*(Table1[[#This Row],[Agi]]-ctc_phase_out_begins),0)</f>
        <v>3750</v>
      </c>
      <c r="M407" s="1">
        <f>MAX(Table1[[#This Row],[Child Tax Credit]]-Table1[[#This Row],[Child Tax Credit Phase Out]],0)</f>
        <v>1250</v>
      </c>
      <c r="N407" s="1">
        <f>MAX(Table1[[#This Row],[Regular Taxes Owed]]-Table1[[#This Row],[Effective Child Tax Credit]],0)</f>
        <v>26305</v>
      </c>
      <c r="O407" s="1">
        <f>MAX(MIN((Table1[[#This Row],[taxable wages]]-3000)*0.15,1000*num_kids_16_younger),0)</f>
        <v>5000</v>
      </c>
      <c r="P407" s="9">
        <f>IF(Table1[[#This Row],[Effective Child Tax Credit]]&gt;Table1[[#This Row],[Regular Taxes Owed]],Table1[[#This Row],[Additional Child Tax Credit ]]-Table1[[#This Row],[Regular Taxes Owed]],0)</f>
        <v>0</v>
      </c>
      <c r="Q4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7" s="1">
        <f>Table1[[#This Row],[Effective Additional Child Tax Credit]]+Table1[[#This Row],[Eitc]]</f>
        <v>0</v>
      </c>
      <c r="S407" s="9">
        <f>Table1[[#This Row],[Regular Taxes Owed - Effective Child Tax Credit]]-Table1[[#This Row],[Total Credits]]</f>
        <v>26305</v>
      </c>
      <c r="T407" s="9">
        <f>Table1[[#This Row],[taxable wages]]+interest+dividends+short_term_capital_gains+long_term_capital_gains-(charitable_donations+mortgage_interest)</f>
        <v>185000</v>
      </c>
      <c r="U407" s="9">
        <f>MAX(amt_exemption-amt_exemption_phase_out_rate*MAX(Table1[[#This Row],[taxable wages]]-amt_phase_out_begins,0),0)</f>
        <v>77475</v>
      </c>
      <c r="V4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27956.5</v>
      </c>
      <c r="W407" s="1">
        <f>IF(AND(Table1[[#This Row],[AMT Taxes]]&gt;Table1[[#This Row],[Regular Taxes Owed]],Table1[[#This Row],[AMT Taxes]]&gt;0),Table1[[#This Row],[AMT Taxes]]-Table1[[#This Row],[Regular Taxes Owed]],0)</f>
        <v>401.5</v>
      </c>
      <c r="X407" s="9">
        <f>Table1[[#This Row],[Extra Taxes From Amt]]+Table1[[#This Row],[Federal Taxes Owed (No AMT)]]</f>
        <v>26706.5</v>
      </c>
      <c r="Y407" s="9">
        <f>IF(Table1[[#This Row],[taxable wages]]&gt;obamacare_surcharge_amount,obamacare_surcharge_percent*(Table1[[#This Row],[taxable wages]]-obamacare_surcharge_amount),0)</f>
        <v>0</v>
      </c>
      <c r="Z407" s="9">
        <f>Table1[[#This Row],[Federal Taxes Owed (Includes AMT)]]+Table1[[#This Row],[Obamacare surcharge premium]]</f>
        <v>26706.5</v>
      </c>
      <c r="AA407" s="9">
        <f>Table1[[#This Row],[taxable wages]]-Table1[[#This Row],[Federal Taxes Owed2]]</f>
        <v>158293.5</v>
      </c>
      <c r="AB407" s="51">
        <f t="shared" si="36"/>
        <v>0.375</v>
      </c>
      <c r="AC407" s="41"/>
      <c r="AD407" s="13"/>
      <c r="AE407" s="13"/>
    </row>
    <row r="408" spans="2:31" x14ac:dyDescent="0.3">
      <c r="B408" s="41">
        <f t="shared" si="37"/>
        <v>185500</v>
      </c>
      <c r="C408" s="1">
        <f>Table1[[#This Row],[taxable wages]]</f>
        <v>185500</v>
      </c>
      <c r="D408" s="1">
        <f>Table1[[#This Row],[taxable wages]]+interest+dividends+short_term_capital_gains+long_term_capital_gains</f>
        <v>185500</v>
      </c>
      <c r="E408" s="1">
        <f>MAX(Table1[[#This Row],[earned income for EITC]:[Agi For Eitc Calc]])</f>
        <v>185500</v>
      </c>
      <c r="F408" s="1">
        <f>Table1[[#This Row],[taxable wages]]+interest+dividends+short_term_capital_gains+long_term_capital_gains-(trad_ira_contributions+MIN(student_loan_interest_cap,student_loan_interest))</f>
        <v>185500</v>
      </c>
      <c r="G408" s="1">
        <f t="shared" si="33"/>
        <v>12600</v>
      </c>
      <c r="H408" s="1">
        <f t="shared" si="34"/>
        <v>28350</v>
      </c>
      <c r="I408" s="1">
        <f>MAX(0,Table1[[#This Row],[Agi]]-Table1[[#This Row],[Exemptions]]-Table1[[#This Row],[Effective Deductions]])</f>
        <v>144550</v>
      </c>
      <c r="J4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27680</v>
      </c>
      <c r="K408" s="1">
        <f t="shared" si="35"/>
        <v>5000</v>
      </c>
      <c r="L408" s="1">
        <f>IF(Table1[[#This Row],[Agi]]&gt;ctc_phase_out_begins,ctc_phase_out_rate*(Table1[[#This Row],[Agi]]-ctc_phase_out_begins),0)</f>
        <v>3775</v>
      </c>
      <c r="M408" s="1">
        <f>MAX(Table1[[#This Row],[Child Tax Credit]]-Table1[[#This Row],[Child Tax Credit Phase Out]],0)</f>
        <v>1225</v>
      </c>
      <c r="N408" s="1">
        <f>MAX(Table1[[#This Row],[Regular Taxes Owed]]-Table1[[#This Row],[Effective Child Tax Credit]],0)</f>
        <v>26455</v>
      </c>
      <c r="O408" s="1">
        <f>MAX(MIN((Table1[[#This Row],[taxable wages]]-3000)*0.15,1000*num_kids_16_younger),0)</f>
        <v>5000</v>
      </c>
      <c r="P408" s="9">
        <f>IF(Table1[[#This Row],[Effective Child Tax Credit]]&gt;Table1[[#This Row],[Regular Taxes Owed]],Table1[[#This Row],[Additional Child Tax Credit ]]-Table1[[#This Row],[Regular Taxes Owed]],0)</f>
        <v>0</v>
      </c>
      <c r="Q4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8" s="1">
        <f>Table1[[#This Row],[Effective Additional Child Tax Credit]]+Table1[[#This Row],[Eitc]]</f>
        <v>0</v>
      </c>
      <c r="S408" s="9">
        <f>Table1[[#This Row],[Regular Taxes Owed - Effective Child Tax Credit]]-Table1[[#This Row],[Total Credits]]</f>
        <v>26455</v>
      </c>
      <c r="T408" s="9">
        <f>Table1[[#This Row],[taxable wages]]+interest+dividends+short_term_capital_gains+long_term_capital_gains-(charitable_donations+mortgage_interest)</f>
        <v>185500</v>
      </c>
      <c r="U408" s="9">
        <f>MAX(amt_exemption-amt_exemption_phase_out_rate*MAX(Table1[[#This Row],[taxable wages]]-amt_phase_out_begins,0),0)</f>
        <v>77350</v>
      </c>
      <c r="V4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28119</v>
      </c>
      <c r="W408" s="1">
        <f>IF(AND(Table1[[#This Row],[AMT Taxes]]&gt;Table1[[#This Row],[Regular Taxes Owed]],Table1[[#This Row],[AMT Taxes]]&gt;0),Table1[[#This Row],[AMT Taxes]]-Table1[[#This Row],[Regular Taxes Owed]],0)</f>
        <v>439</v>
      </c>
      <c r="X408" s="9">
        <f>Table1[[#This Row],[Extra Taxes From Amt]]+Table1[[#This Row],[Federal Taxes Owed (No AMT)]]</f>
        <v>26894</v>
      </c>
      <c r="Y408" s="9">
        <f>IF(Table1[[#This Row],[taxable wages]]&gt;obamacare_surcharge_amount,obamacare_surcharge_percent*(Table1[[#This Row],[taxable wages]]-obamacare_surcharge_amount),0)</f>
        <v>0</v>
      </c>
      <c r="Z408" s="9">
        <f>Table1[[#This Row],[Federal Taxes Owed (Includes AMT)]]+Table1[[#This Row],[Obamacare surcharge premium]]</f>
        <v>26894</v>
      </c>
      <c r="AA408" s="9">
        <f>Table1[[#This Row],[taxable wages]]-Table1[[#This Row],[Federal Taxes Owed2]]</f>
        <v>158606</v>
      </c>
      <c r="AB408" s="51">
        <f t="shared" si="36"/>
        <v>0.375</v>
      </c>
      <c r="AC408" s="41"/>
      <c r="AD408" s="13"/>
      <c r="AE408" s="13"/>
    </row>
    <row r="409" spans="2:31" x14ac:dyDescent="0.3">
      <c r="B409" s="41">
        <f t="shared" si="37"/>
        <v>186000</v>
      </c>
      <c r="C409" s="1">
        <f>Table1[[#This Row],[taxable wages]]</f>
        <v>186000</v>
      </c>
      <c r="D409" s="1">
        <f>Table1[[#This Row],[taxable wages]]+interest+dividends+short_term_capital_gains+long_term_capital_gains</f>
        <v>186000</v>
      </c>
      <c r="E409" s="1">
        <f>MAX(Table1[[#This Row],[earned income for EITC]:[Agi For Eitc Calc]])</f>
        <v>186000</v>
      </c>
      <c r="F409" s="1">
        <f>Table1[[#This Row],[taxable wages]]+interest+dividends+short_term_capital_gains+long_term_capital_gains-(trad_ira_contributions+MIN(student_loan_interest_cap,student_loan_interest))</f>
        <v>186000</v>
      </c>
      <c r="G409" s="1">
        <f t="shared" si="33"/>
        <v>12600</v>
      </c>
      <c r="H409" s="1">
        <f t="shared" si="34"/>
        <v>28350</v>
      </c>
      <c r="I409" s="1">
        <f>MAX(0,Table1[[#This Row],[Agi]]-Table1[[#This Row],[Exemptions]]-Table1[[#This Row],[Effective Deductions]])</f>
        <v>145050</v>
      </c>
      <c r="J4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27805</v>
      </c>
      <c r="K409" s="1">
        <f t="shared" si="35"/>
        <v>5000</v>
      </c>
      <c r="L409" s="1">
        <f>IF(Table1[[#This Row],[Agi]]&gt;ctc_phase_out_begins,ctc_phase_out_rate*(Table1[[#This Row],[Agi]]-ctc_phase_out_begins),0)</f>
        <v>3800</v>
      </c>
      <c r="M409" s="1">
        <f>MAX(Table1[[#This Row],[Child Tax Credit]]-Table1[[#This Row],[Child Tax Credit Phase Out]],0)</f>
        <v>1200</v>
      </c>
      <c r="N409" s="1">
        <f>MAX(Table1[[#This Row],[Regular Taxes Owed]]-Table1[[#This Row],[Effective Child Tax Credit]],0)</f>
        <v>26605</v>
      </c>
      <c r="O409" s="1">
        <f>MAX(MIN((Table1[[#This Row],[taxable wages]]-3000)*0.15,1000*num_kids_16_younger),0)</f>
        <v>5000</v>
      </c>
      <c r="P409" s="9">
        <f>IF(Table1[[#This Row],[Effective Child Tax Credit]]&gt;Table1[[#This Row],[Regular Taxes Owed]],Table1[[#This Row],[Additional Child Tax Credit ]]-Table1[[#This Row],[Regular Taxes Owed]],0)</f>
        <v>0</v>
      </c>
      <c r="Q4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09" s="1">
        <f>Table1[[#This Row],[Effective Additional Child Tax Credit]]+Table1[[#This Row],[Eitc]]</f>
        <v>0</v>
      </c>
      <c r="S409" s="9">
        <f>Table1[[#This Row],[Regular Taxes Owed - Effective Child Tax Credit]]-Table1[[#This Row],[Total Credits]]</f>
        <v>26605</v>
      </c>
      <c r="T409" s="9">
        <f>Table1[[#This Row],[taxable wages]]+interest+dividends+short_term_capital_gains+long_term_capital_gains-(charitable_donations+mortgage_interest)</f>
        <v>186000</v>
      </c>
      <c r="U409" s="9">
        <f>MAX(amt_exemption-amt_exemption_phase_out_rate*MAX(Table1[[#This Row],[taxable wages]]-amt_phase_out_begins,0),0)</f>
        <v>77225</v>
      </c>
      <c r="V4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28281.5</v>
      </c>
      <c r="W409" s="1">
        <f>IF(AND(Table1[[#This Row],[AMT Taxes]]&gt;Table1[[#This Row],[Regular Taxes Owed]],Table1[[#This Row],[AMT Taxes]]&gt;0),Table1[[#This Row],[AMT Taxes]]-Table1[[#This Row],[Regular Taxes Owed]],0)</f>
        <v>476.5</v>
      </c>
      <c r="X409" s="9">
        <f>Table1[[#This Row],[Extra Taxes From Amt]]+Table1[[#This Row],[Federal Taxes Owed (No AMT)]]</f>
        <v>27081.5</v>
      </c>
      <c r="Y409" s="9">
        <f>IF(Table1[[#This Row],[taxable wages]]&gt;obamacare_surcharge_amount,obamacare_surcharge_percent*(Table1[[#This Row],[taxable wages]]-obamacare_surcharge_amount),0)</f>
        <v>0</v>
      </c>
      <c r="Z409" s="9">
        <f>Table1[[#This Row],[Federal Taxes Owed (Includes AMT)]]+Table1[[#This Row],[Obamacare surcharge premium]]</f>
        <v>27081.5</v>
      </c>
      <c r="AA409" s="9">
        <f>Table1[[#This Row],[taxable wages]]-Table1[[#This Row],[Federal Taxes Owed2]]</f>
        <v>158918.5</v>
      </c>
      <c r="AB409" s="51">
        <f t="shared" si="36"/>
        <v>0.375</v>
      </c>
      <c r="AC409" s="41"/>
      <c r="AD409" s="13"/>
      <c r="AE409" s="13"/>
    </row>
    <row r="410" spans="2:31" x14ac:dyDescent="0.3">
      <c r="B410" s="41">
        <f t="shared" si="37"/>
        <v>186500</v>
      </c>
      <c r="C410" s="1">
        <f>Table1[[#This Row],[taxable wages]]</f>
        <v>186500</v>
      </c>
      <c r="D410" s="1">
        <f>Table1[[#This Row],[taxable wages]]+interest+dividends+short_term_capital_gains+long_term_capital_gains</f>
        <v>186500</v>
      </c>
      <c r="E410" s="1">
        <f>MAX(Table1[[#This Row],[earned income for EITC]:[Agi For Eitc Calc]])</f>
        <v>186500</v>
      </c>
      <c r="F410" s="1">
        <f>Table1[[#This Row],[taxable wages]]+interest+dividends+short_term_capital_gains+long_term_capital_gains-(trad_ira_contributions+MIN(student_loan_interest_cap,student_loan_interest))</f>
        <v>186500</v>
      </c>
      <c r="G410" s="1">
        <f t="shared" si="33"/>
        <v>12600</v>
      </c>
      <c r="H410" s="1">
        <f t="shared" si="34"/>
        <v>28350</v>
      </c>
      <c r="I410" s="1">
        <f>MAX(0,Table1[[#This Row],[Agi]]-Table1[[#This Row],[Exemptions]]-Table1[[#This Row],[Effective Deductions]])</f>
        <v>145550</v>
      </c>
      <c r="J4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27930</v>
      </c>
      <c r="K410" s="1">
        <f t="shared" si="35"/>
        <v>5000</v>
      </c>
      <c r="L410" s="1">
        <f>IF(Table1[[#This Row],[Agi]]&gt;ctc_phase_out_begins,ctc_phase_out_rate*(Table1[[#This Row],[Agi]]-ctc_phase_out_begins),0)</f>
        <v>3825</v>
      </c>
      <c r="M410" s="1">
        <f>MAX(Table1[[#This Row],[Child Tax Credit]]-Table1[[#This Row],[Child Tax Credit Phase Out]],0)</f>
        <v>1175</v>
      </c>
      <c r="N410" s="1">
        <f>MAX(Table1[[#This Row],[Regular Taxes Owed]]-Table1[[#This Row],[Effective Child Tax Credit]],0)</f>
        <v>26755</v>
      </c>
      <c r="O410" s="1">
        <f>MAX(MIN((Table1[[#This Row],[taxable wages]]-3000)*0.15,1000*num_kids_16_younger),0)</f>
        <v>5000</v>
      </c>
      <c r="P410" s="9">
        <f>IF(Table1[[#This Row],[Effective Child Tax Credit]]&gt;Table1[[#This Row],[Regular Taxes Owed]],Table1[[#This Row],[Additional Child Tax Credit ]]-Table1[[#This Row],[Regular Taxes Owed]],0)</f>
        <v>0</v>
      </c>
      <c r="Q4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0" s="1">
        <f>Table1[[#This Row],[Effective Additional Child Tax Credit]]+Table1[[#This Row],[Eitc]]</f>
        <v>0</v>
      </c>
      <c r="S410" s="9">
        <f>Table1[[#This Row],[Regular Taxes Owed - Effective Child Tax Credit]]-Table1[[#This Row],[Total Credits]]</f>
        <v>26755</v>
      </c>
      <c r="T410" s="9">
        <f>Table1[[#This Row],[taxable wages]]+interest+dividends+short_term_capital_gains+long_term_capital_gains-(charitable_donations+mortgage_interest)</f>
        <v>186500</v>
      </c>
      <c r="U410" s="9">
        <f>MAX(amt_exemption-amt_exemption_phase_out_rate*MAX(Table1[[#This Row],[taxable wages]]-amt_phase_out_begins,0),0)</f>
        <v>77100</v>
      </c>
      <c r="V4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28444</v>
      </c>
      <c r="W410" s="1">
        <f>IF(AND(Table1[[#This Row],[AMT Taxes]]&gt;Table1[[#This Row],[Regular Taxes Owed]],Table1[[#This Row],[AMT Taxes]]&gt;0),Table1[[#This Row],[AMT Taxes]]-Table1[[#This Row],[Regular Taxes Owed]],0)</f>
        <v>514</v>
      </c>
      <c r="X410" s="9">
        <f>Table1[[#This Row],[Extra Taxes From Amt]]+Table1[[#This Row],[Federal Taxes Owed (No AMT)]]</f>
        <v>27269</v>
      </c>
      <c r="Y410" s="9">
        <f>IF(Table1[[#This Row],[taxable wages]]&gt;obamacare_surcharge_amount,obamacare_surcharge_percent*(Table1[[#This Row],[taxable wages]]-obamacare_surcharge_amount),0)</f>
        <v>0</v>
      </c>
      <c r="Z410" s="9">
        <f>Table1[[#This Row],[Federal Taxes Owed (Includes AMT)]]+Table1[[#This Row],[Obamacare surcharge premium]]</f>
        <v>27269</v>
      </c>
      <c r="AA410" s="9">
        <f>Table1[[#This Row],[taxable wages]]-Table1[[#This Row],[Federal Taxes Owed2]]</f>
        <v>159231</v>
      </c>
      <c r="AB410" s="51">
        <f t="shared" si="36"/>
        <v>0.375</v>
      </c>
      <c r="AC410" s="41"/>
      <c r="AD410" s="13"/>
      <c r="AE410" s="13"/>
    </row>
    <row r="411" spans="2:31" x14ac:dyDescent="0.3">
      <c r="B411" s="41">
        <f t="shared" si="37"/>
        <v>187000</v>
      </c>
      <c r="C411" s="1">
        <f>Table1[[#This Row],[taxable wages]]</f>
        <v>187000</v>
      </c>
      <c r="D411" s="1">
        <f>Table1[[#This Row],[taxable wages]]+interest+dividends+short_term_capital_gains+long_term_capital_gains</f>
        <v>187000</v>
      </c>
      <c r="E411" s="1">
        <f>MAX(Table1[[#This Row],[earned income for EITC]:[Agi For Eitc Calc]])</f>
        <v>187000</v>
      </c>
      <c r="F411" s="1">
        <f>Table1[[#This Row],[taxable wages]]+interest+dividends+short_term_capital_gains+long_term_capital_gains-(trad_ira_contributions+MIN(student_loan_interest_cap,student_loan_interest))</f>
        <v>187000</v>
      </c>
      <c r="G411" s="1">
        <f t="shared" si="33"/>
        <v>12600</v>
      </c>
      <c r="H411" s="1">
        <f t="shared" si="34"/>
        <v>28350</v>
      </c>
      <c r="I411" s="1">
        <f>MAX(0,Table1[[#This Row],[Agi]]-Table1[[#This Row],[Exemptions]]-Table1[[#This Row],[Effective Deductions]])</f>
        <v>146050</v>
      </c>
      <c r="J4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28055</v>
      </c>
      <c r="K411" s="1">
        <f t="shared" si="35"/>
        <v>5000</v>
      </c>
      <c r="L411" s="1">
        <f>IF(Table1[[#This Row],[Agi]]&gt;ctc_phase_out_begins,ctc_phase_out_rate*(Table1[[#This Row],[Agi]]-ctc_phase_out_begins),0)</f>
        <v>3850</v>
      </c>
      <c r="M411" s="1">
        <f>MAX(Table1[[#This Row],[Child Tax Credit]]-Table1[[#This Row],[Child Tax Credit Phase Out]],0)</f>
        <v>1150</v>
      </c>
      <c r="N411" s="1">
        <f>MAX(Table1[[#This Row],[Regular Taxes Owed]]-Table1[[#This Row],[Effective Child Tax Credit]],0)</f>
        <v>26905</v>
      </c>
      <c r="O411" s="1">
        <f>MAX(MIN((Table1[[#This Row],[taxable wages]]-3000)*0.15,1000*num_kids_16_younger),0)</f>
        <v>5000</v>
      </c>
      <c r="P411" s="9">
        <f>IF(Table1[[#This Row],[Effective Child Tax Credit]]&gt;Table1[[#This Row],[Regular Taxes Owed]],Table1[[#This Row],[Additional Child Tax Credit ]]-Table1[[#This Row],[Regular Taxes Owed]],0)</f>
        <v>0</v>
      </c>
      <c r="Q4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1" s="1">
        <f>Table1[[#This Row],[Effective Additional Child Tax Credit]]+Table1[[#This Row],[Eitc]]</f>
        <v>0</v>
      </c>
      <c r="S411" s="9">
        <f>Table1[[#This Row],[Regular Taxes Owed - Effective Child Tax Credit]]-Table1[[#This Row],[Total Credits]]</f>
        <v>26905</v>
      </c>
      <c r="T411" s="9">
        <f>Table1[[#This Row],[taxable wages]]+interest+dividends+short_term_capital_gains+long_term_capital_gains-(charitable_donations+mortgage_interest)</f>
        <v>187000</v>
      </c>
      <c r="U411" s="9">
        <f>MAX(amt_exemption-amt_exemption_phase_out_rate*MAX(Table1[[#This Row],[taxable wages]]-amt_phase_out_begins,0),0)</f>
        <v>76975</v>
      </c>
      <c r="V4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28606.5</v>
      </c>
      <c r="W411" s="1">
        <f>IF(AND(Table1[[#This Row],[AMT Taxes]]&gt;Table1[[#This Row],[Regular Taxes Owed]],Table1[[#This Row],[AMT Taxes]]&gt;0),Table1[[#This Row],[AMT Taxes]]-Table1[[#This Row],[Regular Taxes Owed]],0)</f>
        <v>551.5</v>
      </c>
      <c r="X411" s="9">
        <f>Table1[[#This Row],[Extra Taxes From Amt]]+Table1[[#This Row],[Federal Taxes Owed (No AMT)]]</f>
        <v>27456.5</v>
      </c>
      <c r="Y411" s="9">
        <f>IF(Table1[[#This Row],[taxable wages]]&gt;obamacare_surcharge_amount,obamacare_surcharge_percent*(Table1[[#This Row],[taxable wages]]-obamacare_surcharge_amount),0)</f>
        <v>0</v>
      </c>
      <c r="Z411" s="9">
        <f>Table1[[#This Row],[Federal Taxes Owed (Includes AMT)]]+Table1[[#This Row],[Obamacare surcharge premium]]</f>
        <v>27456.5</v>
      </c>
      <c r="AA411" s="9">
        <f>Table1[[#This Row],[taxable wages]]-Table1[[#This Row],[Federal Taxes Owed2]]</f>
        <v>159543.5</v>
      </c>
      <c r="AB411" s="51">
        <f t="shared" si="36"/>
        <v>0.375</v>
      </c>
      <c r="AC411" s="41"/>
      <c r="AD411" s="13"/>
      <c r="AE411" s="13"/>
    </row>
    <row r="412" spans="2:31" x14ac:dyDescent="0.3">
      <c r="B412" s="41">
        <f t="shared" si="37"/>
        <v>187500</v>
      </c>
      <c r="C412" s="1">
        <f>Table1[[#This Row],[taxable wages]]</f>
        <v>187500</v>
      </c>
      <c r="D412" s="1">
        <f>Table1[[#This Row],[taxable wages]]+interest+dividends+short_term_capital_gains+long_term_capital_gains</f>
        <v>187500</v>
      </c>
      <c r="E412" s="1">
        <f>MAX(Table1[[#This Row],[earned income for EITC]:[Agi For Eitc Calc]])</f>
        <v>187500</v>
      </c>
      <c r="F412" s="1">
        <f>Table1[[#This Row],[taxable wages]]+interest+dividends+short_term_capital_gains+long_term_capital_gains-(trad_ira_contributions+MIN(student_loan_interest_cap,student_loan_interest))</f>
        <v>187500</v>
      </c>
      <c r="G412" s="1">
        <f t="shared" si="33"/>
        <v>12600</v>
      </c>
      <c r="H412" s="1">
        <f t="shared" si="34"/>
        <v>28350</v>
      </c>
      <c r="I412" s="1">
        <f>MAX(0,Table1[[#This Row],[Agi]]-Table1[[#This Row],[Exemptions]]-Table1[[#This Row],[Effective Deductions]])</f>
        <v>146550</v>
      </c>
      <c r="J4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28180</v>
      </c>
      <c r="K412" s="1">
        <f t="shared" si="35"/>
        <v>5000</v>
      </c>
      <c r="L412" s="1">
        <f>IF(Table1[[#This Row],[Agi]]&gt;ctc_phase_out_begins,ctc_phase_out_rate*(Table1[[#This Row],[Agi]]-ctc_phase_out_begins),0)</f>
        <v>3875</v>
      </c>
      <c r="M412" s="1">
        <f>MAX(Table1[[#This Row],[Child Tax Credit]]-Table1[[#This Row],[Child Tax Credit Phase Out]],0)</f>
        <v>1125</v>
      </c>
      <c r="N412" s="1">
        <f>MAX(Table1[[#This Row],[Regular Taxes Owed]]-Table1[[#This Row],[Effective Child Tax Credit]],0)</f>
        <v>27055</v>
      </c>
      <c r="O412" s="1">
        <f>MAX(MIN((Table1[[#This Row],[taxable wages]]-3000)*0.15,1000*num_kids_16_younger),0)</f>
        <v>5000</v>
      </c>
      <c r="P412" s="9">
        <f>IF(Table1[[#This Row],[Effective Child Tax Credit]]&gt;Table1[[#This Row],[Regular Taxes Owed]],Table1[[#This Row],[Additional Child Tax Credit ]]-Table1[[#This Row],[Regular Taxes Owed]],0)</f>
        <v>0</v>
      </c>
      <c r="Q4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2" s="1">
        <f>Table1[[#This Row],[Effective Additional Child Tax Credit]]+Table1[[#This Row],[Eitc]]</f>
        <v>0</v>
      </c>
      <c r="S412" s="9">
        <f>Table1[[#This Row],[Regular Taxes Owed - Effective Child Tax Credit]]-Table1[[#This Row],[Total Credits]]</f>
        <v>27055</v>
      </c>
      <c r="T412" s="9">
        <f>Table1[[#This Row],[taxable wages]]+interest+dividends+short_term_capital_gains+long_term_capital_gains-(charitable_donations+mortgage_interest)</f>
        <v>187500</v>
      </c>
      <c r="U412" s="9">
        <f>MAX(amt_exemption-amt_exemption_phase_out_rate*MAX(Table1[[#This Row],[taxable wages]]-amt_phase_out_begins,0),0)</f>
        <v>76850</v>
      </c>
      <c r="V4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28769</v>
      </c>
      <c r="W412" s="1">
        <f>IF(AND(Table1[[#This Row],[AMT Taxes]]&gt;Table1[[#This Row],[Regular Taxes Owed]],Table1[[#This Row],[AMT Taxes]]&gt;0),Table1[[#This Row],[AMT Taxes]]-Table1[[#This Row],[Regular Taxes Owed]],0)</f>
        <v>589</v>
      </c>
      <c r="X412" s="9">
        <f>Table1[[#This Row],[Extra Taxes From Amt]]+Table1[[#This Row],[Federal Taxes Owed (No AMT)]]</f>
        <v>27644</v>
      </c>
      <c r="Y412" s="9">
        <f>IF(Table1[[#This Row],[taxable wages]]&gt;obamacare_surcharge_amount,obamacare_surcharge_percent*(Table1[[#This Row],[taxable wages]]-obamacare_surcharge_amount),0)</f>
        <v>0</v>
      </c>
      <c r="Z412" s="9">
        <f>Table1[[#This Row],[Federal Taxes Owed (Includes AMT)]]+Table1[[#This Row],[Obamacare surcharge premium]]</f>
        <v>27644</v>
      </c>
      <c r="AA412" s="9">
        <f>Table1[[#This Row],[taxable wages]]-Table1[[#This Row],[Federal Taxes Owed2]]</f>
        <v>159856</v>
      </c>
      <c r="AB412" s="51">
        <f t="shared" si="36"/>
        <v>0.375</v>
      </c>
      <c r="AC412" s="41"/>
      <c r="AD412" s="13"/>
      <c r="AE412" s="13"/>
    </row>
    <row r="413" spans="2:31" x14ac:dyDescent="0.3">
      <c r="B413" s="41">
        <f t="shared" si="37"/>
        <v>188000</v>
      </c>
      <c r="C413" s="1">
        <f>Table1[[#This Row],[taxable wages]]</f>
        <v>188000</v>
      </c>
      <c r="D413" s="1">
        <f>Table1[[#This Row],[taxable wages]]+interest+dividends+short_term_capital_gains+long_term_capital_gains</f>
        <v>188000</v>
      </c>
      <c r="E413" s="1">
        <f>MAX(Table1[[#This Row],[earned income for EITC]:[Agi For Eitc Calc]])</f>
        <v>188000</v>
      </c>
      <c r="F413" s="1">
        <f>Table1[[#This Row],[taxable wages]]+interest+dividends+short_term_capital_gains+long_term_capital_gains-(trad_ira_contributions+MIN(student_loan_interest_cap,student_loan_interest))</f>
        <v>188000</v>
      </c>
      <c r="G413" s="1">
        <f t="shared" si="33"/>
        <v>12600</v>
      </c>
      <c r="H413" s="1">
        <f t="shared" si="34"/>
        <v>28350</v>
      </c>
      <c r="I413" s="1">
        <f>MAX(0,Table1[[#This Row],[Agi]]-Table1[[#This Row],[Exemptions]]-Table1[[#This Row],[Effective Deductions]])</f>
        <v>147050</v>
      </c>
      <c r="J4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28305</v>
      </c>
      <c r="K413" s="1">
        <f t="shared" si="35"/>
        <v>5000</v>
      </c>
      <c r="L413" s="1">
        <f>IF(Table1[[#This Row],[Agi]]&gt;ctc_phase_out_begins,ctc_phase_out_rate*(Table1[[#This Row],[Agi]]-ctc_phase_out_begins),0)</f>
        <v>3900</v>
      </c>
      <c r="M413" s="1">
        <f>MAX(Table1[[#This Row],[Child Tax Credit]]-Table1[[#This Row],[Child Tax Credit Phase Out]],0)</f>
        <v>1100</v>
      </c>
      <c r="N413" s="1">
        <f>MAX(Table1[[#This Row],[Regular Taxes Owed]]-Table1[[#This Row],[Effective Child Tax Credit]],0)</f>
        <v>27205</v>
      </c>
      <c r="O413" s="1">
        <f>MAX(MIN((Table1[[#This Row],[taxable wages]]-3000)*0.15,1000*num_kids_16_younger),0)</f>
        <v>5000</v>
      </c>
      <c r="P413" s="9">
        <f>IF(Table1[[#This Row],[Effective Child Tax Credit]]&gt;Table1[[#This Row],[Regular Taxes Owed]],Table1[[#This Row],[Additional Child Tax Credit ]]-Table1[[#This Row],[Regular Taxes Owed]],0)</f>
        <v>0</v>
      </c>
      <c r="Q4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3" s="1">
        <f>Table1[[#This Row],[Effective Additional Child Tax Credit]]+Table1[[#This Row],[Eitc]]</f>
        <v>0</v>
      </c>
      <c r="S413" s="9">
        <f>Table1[[#This Row],[Regular Taxes Owed - Effective Child Tax Credit]]-Table1[[#This Row],[Total Credits]]</f>
        <v>27205</v>
      </c>
      <c r="T413" s="9">
        <f>Table1[[#This Row],[taxable wages]]+interest+dividends+short_term_capital_gains+long_term_capital_gains-(charitable_donations+mortgage_interest)</f>
        <v>188000</v>
      </c>
      <c r="U413" s="9">
        <f>MAX(amt_exemption-amt_exemption_phase_out_rate*MAX(Table1[[#This Row],[taxable wages]]-amt_phase_out_begins,0),0)</f>
        <v>76725</v>
      </c>
      <c r="V4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28931.5</v>
      </c>
      <c r="W413" s="1">
        <f>IF(AND(Table1[[#This Row],[AMT Taxes]]&gt;Table1[[#This Row],[Regular Taxes Owed]],Table1[[#This Row],[AMT Taxes]]&gt;0),Table1[[#This Row],[AMT Taxes]]-Table1[[#This Row],[Regular Taxes Owed]],0)</f>
        <v>626.5</v>
      </c>
      <c r="X413" s="9">
        <f>Table1[[#This Row],[Extra Taxes From Amt]]+Table1[[#This Row],[Federal Taxes Owed (No AMT)]]</f>
        <v>27831.5</v>
      </c>
      <c r="Y413" s="9">
        <f>IF(Table1[[#This Row],[taxable wages]]&gt;obamacare_surcharge_amount,obamacare_surcharge_percent*(Table1[[#This Row],[taxable wages]]-obamacare_surcharge_amount),0)</f>
        <v>0</v>
      </c>
      <c r="Z413" s="9">
        <f>Table1[[#This Row],[Federal Taxes Owed (Includes AMT)]]+Table1[[#This Row],[Obamacare surcharge premium]]</f>
        <v>27831.5</v>
      </c>
      <c r="AA413" s="9">
        <f>Table1[[#This Row],[taxable wages]]-Table1[[#This Row],[Federal Taxes Owed2]]</f>
        <v>160168.5</v>
      </c>
      <c r="AB413" s="51">
        <f t="shared" si="36"/>
        <v>0.375</v>
      </c>
      <c r="AC413" s="41"/>
      <c r="AD413" s="13"/>
      <c r="AE413" s="13"/>
    </row>
    <row r="414" spans="2:31" x14ac:dyDescent="0.3">
      <c r="B414" s="41">
        <f t="shared" si="37"/>
        <v>188500</v>
      </c>
      <c r="C414" s="1">
        <f>Table1[[#This Row],[taxable wages]]</f>
        <v>188500</v>
      </c>
      <c r="D414" s="1">
        <f>Table1[[#This Row],[taxable wages]]+interest+dividends+short_term_capital_gains+long_term_capital_gains</f>
        <v>188500</v>
      </c>
      <c r="E414" s="1">
        <f>MAX(Table1[[#This Row],[earned income for EITC]:[Agi For Eitc Calc]])</f>
        <v>188500</v>
      </c>
      <c r="F414" s="1">
        <f>Table1[[#This Row],[taxable wages]]+interest+dividends+short_term_capital_gains+long_term_capital_gains-(trad_ira_contributions+MIN(student_loan_interest_cap,student_loan_interest))</f>
        <v>188500</v>
      </c>
      <c r="G414" s="1">
        <f t="shared" si="33"/>
        <v>12600</v>
      </c>
      <c r="H414" s="1">
        <f t="shared" si="34"/>
        <v>28350</v>
      </c>
      <c r="I414" s="1">
        <f>MAX(0,Table1[[#This Row],[Agi]]-Table1[[#This Row],[Exemptions]]-Table1[[#This Row],[Effective Deductions]])</f>
        <v>147550</v>
      </c>
      <c r="J4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28430</v>
      </c>
      <c r="K414" s="1">
        <f t="shared" si="35"/>
        <v>5000</v>
      </c>
      <c r="L414" s="1">
        <f>IF(Table1[[#This Row],[Agi]]&gt;ctc_phase_out_begins,ctc_phase_out_rate*(Table1[[#This Row],[Agi]]-ctc_phase_out_begins),0)</f>
        <v>3925</v>
      </c>
      <c r="M414" s="1">
        <f>MAX(Table1[[#This Row],[Child Tax Credit]]-Table1[[#This Row],[Child Tax Credit Phase Out]],0)</f>
        <v>1075</v>
      </c>
      <c r="N414" s="1">
        <f>MAX(Table1[[#This Row],[Regular Taxes Owed]]-Table1[[#This Row],[Effective Child Tax Credit]],0)</f>
        <v>27355</v>
      </c>
      <c r="O414" s="1">
        <f>MAX(MIN((Table1[[#This Row],[taxable wages]]-3000)*0.15,1000*num_kids_16_younger),0)</f>
        <v>5000</v>
      </c>
      <c r="P414" s="9">
        <f>IF(Table1[[#This Row],[Effective Child Tax Credit]]&gt;Table1[[#This Row],[Regular Taxes Owed]],Table1[[#This Row],[Additional Child Tax Credit ]]-Table1[[#This Row],[Regular Taxes Owed]],0)</f>
        <v>0</v>
      </c>
      <c r="Q4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4" s="1">
        <f>Table1[[#This Row],[Effective Additional Child Tax Credit]]+Table1[[#This Row],[Eitc]]</f>
        <v>0</v>
      </c>
      <c r="S414" s="9">
        <f>Table1[[#This Row],[Regular Taxes Owed - Effective Child Tax Credit]]-Table1[[#This Row],[Total Credits]]</f>
        <v>27355</v>
      </c>
      <c r="T414" s="9">
        <f>Table1[[#This Row],[taxable wages]]+interest+dividends+short_term_capital_gains+long_term_capital_gains-(charitable_donations+mortgage_interest)</f>
        <v>188500</v>
      </c>
      <c r="U414" s="9">
        <f>MAX(amt_exemption-amt_exemption_phase_out_rate*MAX(Table1[[#This Row],[taxable wages]]-amt_phase_out_begins,0),0)</f>
        <v>76600</v>
      </c>
      <c r="V4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29094</v>
      </c>
      <c r="W414" s="1">
        <f>IF(AND(Table1[[#This Row],[AMT Taxes]]&gt;Table1[[#This Row],[Regular Taxes Owed]],Table1[[#This Row],[AMT Taxes]]&gt;0),Table1[[#This Row],[AMT Taxes]]-Table1[[#This Row],[Regular Taxes Owed]],0)</f>
        <v>664</v>
      </c>
      <c r="X414" s="9">
        <f>Table1[[#This Row],[Extra Taxes From Amt]]+Table1[[#This Row],[Federal Taxes Owed (No AMT)]]</f>
        <v>28019</v>
      </c>
      <c r="Y414" s="9">
        <f>IF(Table1[[#This Row],[taxable wages]]&gt;obamacare_surcharge_amount,obamacare_surcharge_percent*(Table1[[#This Row],[taxable wages]]-obamacare_surcharge_amount),0)</f>
        <v>0</v>
      </c>
      <c r="Z414" s="9">
        <f>Table1[[#This Row],[Federal Taxes Owed (Includes AMT)]]+Table1[[#This Row],[Obamacare surcharge premium]]</f>
        <v>28019</v>
      </c>
      <c r="AA414" s="9">
        <f>Table1[[#This Row],[taxable wages]]-Table1[[#This Row],[Federal Taxes Owed2]]</f>
        <v>160481</v>
      </c>
      <c r="AB414" s="51">
        <f t="shared" si="36"/>
        <v>0.375</v>
      </c>
      <c r="AC414" s="41"/>
      <c r="AD414" s="13"/>
      <c r="AE414" s="13"/>
    </row>
    <row r="415" spans="2:31" x14ac:dyDescent="0.3">
      <c r="B415" s="41">
        <f t="shared" si="37"/>
        <v>189000</v>
      </c>
      <c r="C415" s="1">
        <f>Table1[[#This Row],[taxable wages]]</f>
        <v>189000</v>
      </c>
      <c r="D415" s="1">
        <f>Table1[[#This Row],[taxable wages]]+interest+dividends+short_term_capital_gains+long_term_capital_gains</f>
        <v>189000</v>
      </c>
      <c r="E415" s="1">
        <f>MAX(Table1[[#This Row],[earned income for EITC]:[Agi For Eitc Calc]])</f>
        <v>189000</v>
      </c>
      <c r="F415" s="1">
        <f>Table1[[#This Row],[taxable wages]]+interest+dividends+short_term_capital_gains+long_term_capital_gains-(trad_ira_contributions+MIN(student_loan_interest_cap,student_loan_interest))</f>
        <v>189000</v>
      </c>
      <c r="G415" s="1">
        <f t="shared" si="33"/>
        <v>12600</v>
      </c>
      <c r="H415" s="1">
        <f t="shared" si="34"/>
        <v>28350</v>
      </c>
      <c r="I415" s="1">
        <f>MAX(0,Table1[[#This Row],[Agi]]-Table1[[#This Row],[Exemptions]]-Table1[[#This Row],[Effective Deductions]])</f>
        <v>148050</v>
      </c>
      <c r="J4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28555</v>
      </c>
      <c r="K415" s="1">
        <f t="shared" si="35"/>
        <v>5000</v>
      </c>
      <c r="L415" s="1">
        <f>IF(Table1[[#This Row],[Agi]]&gt;ctc_phase_out_begins,ctc_phase_out_rate*(Table1[[#This Row],[Agi]]-ctc_phase_out_begins),0)</f>
        <v>3950</v>
      </c>
      <c r="M415" s="1">
        <f>MAX(Table1[[#This Row],[Child Tax Credit]]-Table1[[#This Row],[Child Tax Credit Phase Out]],0)</f>
        <v>1050</v>
      </c>
      <c r="N415" s="1">
        <f>MAX(Table1[[#This Row],[Regular Taxes Owed]]-Table1[[#This Row],[Effective Child Tax Credit]],0)</f>
        <v>27505</v>
      </c>
      <c r="O415" s="1">
        <f>MAX(MIN((Table1[[#This Row],[taxable wages]]-3000)*0.15,1000*num_kids_16_younger),0)</f>
        <v>5000</v>
      </c>
      <c r="P415" s="9">
        <f>IF(Table1[[#This Row],[Effective Child Tax Credit]]&gt;Table1[[#This Row],[Regular Taxes Owed]],Table1[[#This Row],[Additional Child Tax Credit ]]-Table1[[#This Row],[Regular Taxes Owed]],0)</f>
        <v>0</v>
      </c>
      <c r="Q4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5" s="1">
        <f>Table1[[#This Row],[Effective Additional Child Tax Credit]]+Table1[[#This Row],[Eitc]]</f>
        <v>0</v>
      </c>
      <c r="S415" s="9">
        <f>Table1[[#This Row],[Regular Taxes Owed - Effective Child Tax Credit]]-Table1[[#This Row],[Total Credits]]</f>
        <v>27505</v>
      </c>
      <c r="T415" s="9">
        <f>Table1[[#This Row],[taxable wages]]+interest+dividends+short_term_capital_gains+long_term_capital_gains-(charitable_donations+mortgage_interest)</f>
        <v>189000</v>
      </c>
      <c r="U415" s="9">
        <f>MAX(amt_exemption-amt_exemption_phase_out_rate*MAX(Table1[[#This Row],[taxable wages]]-amt_phase_out_begins,0),0)</f>
        <v>76475</v>
      </c>
      <c r="V4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29256.5</v>
      </c>
      <c r="W415" s="1">
        <f>IF(AND(Table1[[#This Row],[AMT Taxes]]&gt;Table1[[#This Row],[Regular Taxes Owed]],Table1[[#This Row],[AMT Taxes]]&gt;0),Table1[[#This Row],[AMT Taxes]]-Table1[[#This Row],[Regular Taxes Owed]],0)</f>
        <v>701.5</v>
      </c>
      <c r="X415" s="9">
        <f>Table1[[#This Row],[Extra Taxes From Amt]]+Table1[[#This Row],[Federal Taxes Owed (No AMT)]]</f>
        <v>28206.5</v>
      </c>
      <c r="Y415" s="9">
        <f>IF(Table1[[#This Row],[taxable wages]]&gt;obamacare_surcharge_amount,obamacare_surcharge_percent*(Table1[[#This Row],[taxable wages]]-obamacare_surcharge_amount),0)</f>
        <v>0</v>
      </c>
      <c r="Z415" s="9">
        <f>Table1[[#This Row],[Federal Taxes Owed (Includes AMT)]]+Table1[[#This Row],[Obamacare surcharge premium]]</f>
        <v>28206.5</v>
      </c>
      <c r="AA415" s="9">
        <f>Table1[[#This Row],[taxable wages]]-Table1[[#This Row],[Federal Taxes Owed2]]</f>
        <v>160793.5</v>
      </c>
      <c r="AB415" s="51">
        <f t="shared" si="36"/>
        <v>0.375</v>
      </c>
      <c r="AC415" s="41"/>
      <c r="AD415" s="13"/>
      <c r="AE415" s="13"/>
    </row>
    <row r="416" spans="2:31" x14ac:dyDescent="0.3">
      <c r="B416" s="41">
        <f t="shared" si="37"/>
        <v>189500</v>
      </c>
      <c r="C416" s="1">
        <f>Table1[[#This Row],[taxable wages]]</f>
        <v>189500</v>
      </c>
      <c r="D416" s="1">
        <f>Table1[[#This Row],[taxable wages]]+interest+dividends+short_term_capital_gains+long_term_capital_gains</f>
        <v>189500</v>
      </c>
      <c r="E416" s="1">
        <f>MAX(Table1[[#This Row],[earned income for EITC]:[Agi For Eitc Calc]])</f>
        <v>189500</v>
      </c>
      <c r="F416" s="1">
        <f>Table1[[#This Row],[taxable wages]]+interest+dividends+short_term_capital_gains+long_term_capital_gains-(trad_ira_contributions+MIN(student_loan_interest_cap,student_loan_interest))</f>
        <v>189500</v>
      </c>
      <c r="G416" s="1">
        <f t="shared" si="33"/>
        <v>12600</v>
      </c>
      <c r="H416" s="1">
        <f t="shared" si="34"/>
        <v>28350</v>
      </c>
      <c r="I416" s="1">
        <f>MAX(0,Table1[[#This Row],[Agi]]-Table1[[#This Row],[Exemptions]]-Table1[[#This Row],[Effective Deductions]])</f>
        <v>148550</v>
      </c>
      <c r="J4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28680</v>
      </c>
      <c r="K416" s="1">
        <f t="shared" si="35"/>
        <v>5000</v>
      </c>
      <c r="L416" s="1">
        <f>IF(Table1[[#This Row],[Agi]]&gt;ctc_phase_out_begins,ctc_phase_out_rate*(Table1[[#This Row],[Agi]]-ctc_phase_out_begins),0)</f>
        <v>3975</v>
      </c>
      <c r="M416" s="1">
        <f>MAX(Table1[[#This Row],[Child Tax Credit]]-Table1[[#This Row],[Child Tax Credit Phase Out]],0)</f>
        <v>1025</v>
      </c>
      <c r="N416" s="1">
        <f>MAX(Table1[[#This Row],[Regular Taxes Owed]]-Table1[[#This Row],[Effective Child Tax Credit]],0)</f>
        <v>27655</v>
      </c>
      <c r="O416" s="1">
        <f>MAX(MIN((Table1[[#This Row],[taxable wages]]-3000)*0.15,1000*num_kids_16_younger),0)</f>
        <v>5000</v>
      </c>
      <c r="P416" s="9">
        <f>IF(Table1[[#This Row],[Effective Child Tax Credit]]&gt;Table1[[#This Row],[Regular Taxes Owed]],Table1[[#This Row],[Additional Child Tax Credit ]]-Table1[[#This Row],[Regular Taxes Owed]],0)</f>
        <v>0</v>
      </c>
      <c r="Q4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6" s="1">
        <f>Table1[[#This Row],[Effective Additional Child Tax Credit]]+Table1[[#This Row],[Eitc]]</f>
        <v>0</v>
      </c>
      <c r="S416" s="9">
        <f>Table1[[#This Row],[Regular Taxes Owed - Effective Child Tax Credit]]-Table1[[#This Row],[Total Credits]]</f>
        <v>27655</v>
      </c>
      <c r="T416" s="9">
        <f>Table1[[#This Row],[taxable wages]]+interest+dividends+short_term_capital_gains+long_term_capital_gains-(charitable_donations+mortgage_interest)</f>
        <v>189500</v>
      </c>
      <c r="U416" s="9">
        <f>MAX(amt_exemption-amt_exemption_phase_out_rate*MAX(Table1[[#This Row],[taxable wages]]-amt_phase_out_begins,0),0)</f>
        <v>76350</v>
      </c>
      <c r="V4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29419</v>
      </c>
      <c r="W416" s="1">
        <f>IF(AND(Table1[[#This Row],[AMT Taxes]]&gt;Table1[[#This Row],[Regular Taxes Owed]],Table1[[#This Row],[AMT Taxes]]&gt;0),Table1[[#This Row],[AMT Taxes]]-Table1[[#This Row],[Regular Taxes Owed]],0)</f>
        <v>739</v>
      </c>
      <c r="X416" s="9">
        <f>Table1[[#This Row],[Extra Taxes From Amt]]+Table1[[#This Row],[Federal Taxes Owed (No AMT)]]</f>
        <v>28394</v>
      </c>
      <c r="Y416" s="9">
        <f>IF(Table1[[#This Row],[taxable wages]]&gt;obamacare_surcharge_amount,obamacare_surcharge_percent*(Table1[[#This Row],[taxable wages]]-obamacare_surcharge_amount),0)</f>
        <v>0</v>
      </c>
      <c r="Z416" s="9">
        <f>Table1[[#This Row],[Federal Taxes Owed (Includes AMT)]]+Table1[[#This Row],[Obamacare surcharge premium]]</f>
        <v>28394</v>
      </c>
      <c r="AA416" s="9">
        <f>Table1[[#This Row],[taxable wages]]-Table1[[#This Row],[Federal Taxes Owed2]]</f>
        <v>161106</v>
      </c>
      <c r="AB416" s="51">
        <f t="shared" si="36"/>
        <v>0.375</v>
      </c>
      <c r="AC416" s="41"/>
      <c r="AD416" s="13"/>
      <c r="AE416" s="13"/>
    </row>
    <row r="417" spans="2:31" x14ac:dyDescent="0.3">
      <c r="B417" s="41">
        <f t="shared" si="37"/>
        <v>190000</v>
      </c>
      <c r="C417" s="1">
        <f>Table1[[#This Row],[taxable wages]]</f>
        <v>190000</v>
      </c>
      <c r="D417" s="1">
        <f>Table1[[#This Row],[taxable wages]]+interest+dividends+short_term_capital_gains+long_term_capital_gains</f>
        <v>190000</v>
      </c>
      <c r="E417" s="1">
        <f>MAX(Table1[[#This Row],[earned income for EITC]:[Agi For Eitc Calc]])</f>
        <v>190000</v>
      </c>
      <c r="F417" s="1">
        <f>Table1[[#This Row],[taxable wages]]+interest+dividends+short_term_capital_gains+long_term_capital_gains-(trad_ira_contributions+MIN(student_loan_interest_cap,student_loan_interest))</f>
        <v>190000</v>
      </c>
      <c r="G417" s="1">
        <f t="shared" si="33"/>
        <v>12600</v>
      </c>
      <c r="H417" s="1">
        <f t="shared" si="34"/>
        <v>28350</v>
      </c>
      <c r="I417" s="1">
        <f>MAX(0,Table1[[#This Row],[Agi]]-Table1[[#This Row],[Exemptions]]-Table1[[#This Row],[Effective Deductions]])</f>
        <v>149050</v>
      </c>
      <c r="J4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28805</v>
      </c>
      <c r="K417" s="1">
        <f t="shared" si="35"/>
        <v>5000</v>
      </c>
      <c r="L417" s="1">
        <f>IF(Table1[[#This Row],[Agi]]&gt;ctc_phase_out_begins,ctc_phase_out_rate*(Table1[[#This Row],[Agi]]-ctc_phase_out_begins),0)</f>
        <v>4000</v>
      </c>
      <c r="M417" s="1">
        <f>MAX(Table1[[#This Row],[Child Tax Credit]]-Table1[[#This Row],[Child Tax Credit Phase Out]],0)</f>
        <v>1000</v>
      </c>
      <c r="N417" s="1">
        <f>MAX(Table1[[#This Row],[Regular Taxes Owed]]-Table1[[#This Row],[Effective Child Tax Credit]],0)</f>
        <v>27805</v>
      </c>
      <c r="O417" s="1">
        <f>MAX(MIN((Table1[[#This Row],[taxable wages]]-3000)*0.15,1000*num_kids_16_younger),0)</f>
        <v>5000</v>
      </c>
      <c r="P417" s="9">
        <f>IF(Table1[[#This Row],[Effective Child Tax Credit]]&gt;Table1[[#This Row],[Regular Taxes Owed]],Table1[[#This Row],[Additional Child Tax Credit ]]-Table1[[#This Row],[Regular Taxes Owed]],0)</f>
        <v>0</v>
      </c>
      <c r="Q4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7" s="1">
        <f>Table1[[#This Row],[Effective Additional Child Tax Credit]]+Table1[[#This Row],[Eitc]]</f>
        <v>0</v>
      </c>
      <c r="S417" s="9">
        <f>Table1[[#This Row],[Regular Taxes Owed - Effective Child Tax Credit]]-Table1[[#This Row],[Total Credits]]</f>
        <v>27805</v>
      </c>
      <c r="T417" s="9">
        <f>Table1[[#This Row],[taxable wages]]+interest+dividends+short_term_capital_gains+long_term_capital_gains-(charitable_donations+mortgage_interest)</f>
        <v>190000</v>
      </c>
      <c r="U417" s="9">
        <f>MAX(amt_exemption-amt_exemption_phase_out_rate*MAX(Table1[[#This Row],[taxable wages]]-amt_phase_out_begins,0),0)</f>
        <v>76225</v>
      </c>
      <c r="V4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29581.5</v>
      </c>
      <c r="W417" s="1">
        <f>IF(AND(Table1[[#This Row],[AMT Taxes]]&gt;Table1[[#This Row],[Regular Taxes Owed]],Table1[[#This Row],[AMT Taxes]]&gt;0),Table1[[#This Row],[AMT Taxes]]-Table1[[#This Row],[Regular Taxes Owed]],0)</f>
        <v>776.5</v>
      </c>
      <c r="X417" s="9">
        <f>Table1[[#This Row],[Extra Taxes From Amt]]+Table1[[#This Row],[Federal Taxes Owed (No AMT)]]</f>
        <v>28581.5</v>
      </c>
      <c r="Y417" s="9">
        <f>IF(Table1[[#This Row],[taxable wages]]&gt;obamacare_surcharge_amount,obamacare_surcharge_percent*(Table1[[#This Row],[taxable wages]]-obamacare_surcharge_amount),0)</f>
        <v>0</v>
      </c>
      <c r="Z417" s="9">
        <f>Table1[[#This Row],[Federal Taxes Owed (Includes AMT)]]+Table1[[#This Row],[Obamacare surcharge premium]]</f>
        <v>28581.5</v>
      </c>
      <c r="AA417" s="9">
        <f>Table1[[#This Row],[taxable wages]]-Table1[[#This Row],[Federal Taxes Owed2]]</f>
        <v>161418.5</v>
      </c>
      <c r="AB417" s="51">
        <f t="shared" si="36"/>
        <v>0.375</v>
      </c>
      <c r="AC417" s="41"/>
      <c r="AD417" s="13"/>
      <c r="AE417" s="13"/>
    </row>
    <row r="418" spans="2:31" x14ac:dyDescent="0.3">
      <c r="B418" s="41">
        <f t="shared" si="37"/>
        <v>190500</v>
      </c>
      <c r="C418" s="1">
        <f>Table1[[#This Row],[taxable wages]]</f>
        <v>190500</v>
      </c>
      <c r="D418" s="1">
        <f>Table1[[#This Row],[taxable wages]]+interest+dividends+short_term_capital_gains+long_term_capital_gains</f>
        <v>190500</v>
      </c>
      <c r="E418" s="1">
        <f>MAX(Table1[[#This Row],[earned income for EITC]:[Agi For Eitc Calc]])</f>
        <v>190500</v>
      </c>
      <c r="F418" s="1">
        <f>Table1[[#This Row],[taxable wages]]+interest+dividends+short_term_capital_gains+long_term_capital_gains-(trad_ira_contributions+MIN(student_loan_interest_cap,student_loan_interest))</f>
        <v>190500</v>
      </c>
      <c r="G418" s="1">
        <f t="shared" si="33"/>
        <v>12600</v>
      </c>
      <c r="H418" s="1">
        <f t="shared" si="34"/>
        <v>28350</v>
      </c>
      <c r="I418" s="1">
        <f>MAX(0,Table1[[#This Row],[Agi]]-Table1[[#This Row],[Exemptions]]-Table1[[#This Row],[Effective Deductions]])</f>
        <v>149550</v>
      </c>
      <c r="J4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28930</v>
      </c>
      <c r="K418" s="1">
        <f t="shared" si="35"/>
        <v>5000</v>
      </c>
      <c r="L418" s="1">
        <f>IF(Table1[[#This Row],[Agi]]&gt;ctc_phase_out_begins,ctc_phase_out_rate*(Table1[[#This Row],[Agi]]-ctc_phase_out_begins),0)</f>
        <v>4025</v>
      </c>
      <c r="M418" s="1">
        <f>MAX(Table1[[#This Row],[Child Tax Credit]]-Table1[[#This Row],[Child Tax Credit Phase Out]],0)</f>
        <v>975</v>
      </c>
      <c r="N418" s="1">
        <f>MAX(Table1[[#This Row],[Regular Taxes Owed]]-Table1[[#This Row],[Effective Child Tax Credit]],0)</f>
        <v>27955</v>
      </c>
      <c r="O418" s="1">
        <f>MAX(MIN((Table1[[#This Row],[taxable wages]]-3000)*0.15,1000*num_kids_16_younger),0)</f>
        <v>5000</v>
      </c>
      <c r="P418" s="9">
        <f>IF(Table1[[#This Row],[Effective Child Tax Credit]]&gt;Table1[[#This Row],[Regular Taxes Owed]],Table1[[#This Row],[Additional Child Tax Credit ]]-Table1[[#This Row],[Regular Taxes Owed]],0)</f>
        <v>0</v>
      </c>
      <c r="Q4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8" s="1">
        <f>Table1[[#This Row],[Effective Additional Child Tax Credit]]+Table1[[#This Row],[Eitc]]</f>
        <v>0</v>
      </c>
      <c r="S418" s="9">
        <f>Table1[[#This Row],[Regular Taxes Owed - Effective Child Tax Credit]]-Table1[[#This Row],[Total Credits]]</f>
        <v>27955</v>
      </c>
      <c r="T418" s="9">
        <f>Table1[[#This Row],[taxable wages]]+interest+dividends+short_term_capital_gains+long_term_capital_gains-(charitable_donations+mortgage_interest)</f>
        <v>190500</v>
      </c>
      <c r="U418" s="9">
        <f>MAX(amt_exemption-amt_exemption_phase_out_rate*MAX(Table1[[#This Row],[taxable wages]]-amt_phase_out_begins,0),0)</f>
        <v>76100</v>
      </c>
      <c r="V4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29744</v>
      </c>
      <c r="W418" s="1">
        <f>IF(AND(Table1[[#This Row],[AMT Taxes]]&gt;Table1[[#This Row],[Regular Taxes Owed]],Table1[[#This Row],[AMT Taxes]]&gt;0),Table1[[#This Row],[AMT Taxes]]-Table1[[#This Row],[Regular Taxes Owed]],0)</f>
        <v>814</v>
      </c>
      <c r="X418" s="9">
        <f>Table1[[#This Row],[Extra Taxes From Amt]]+Table1[[#This Row],[Federal Taxes Owed (No AMT)]]</f>
        <v>28769</v>
      </c>
      <c r="Y418" s="9">
        <f>IF(Table1[[#This Row],[taxable wages]]&gt;obamacare_surcharge_amount,obamacare_surcharge_percent*(Table1[[#This Row],[taxable wages]]-obamacare_surcharge_amount),0)</f>
        <v>0</v>
      </c>
      <c r="Z418" s="9">
        <f>Table1[[#This Row],[Federal Taxes Owed (Includes AMT)]]+Table1[[#This Row],[Obamacare surcharge premium]]</f>
        <v>28769</v>
      </c>
      <c r="AA418" s="9">
        <f>Table1[[#This Row],[taxable wages]]-Table1[[#This Row],[Federal Taxes Owed2]]</f>
        <v>161731</v>
      </c>
      <c r="AB418" s="51">
        <f t="shared" si="36"/>
        <v>0.375</v>
      </c>
      <c r="AC418" s="41"/>
      <c r="AD418" s="13"/>
      <c r="AE418" s="13"/>
    </row>
    <row r="419" spans="2:31" x14ac:dyDescent="0.3">
      <c r="B419" s="41">
        <f t="shared" si="37"/>
        <v>191000</v>
      </c>
      <c r="C419" s="1">
        <f>Table1[[#This Row],[taxable wages]]</f>
        <v>191000</v>
      </c>
      <c r="D419" s="1">
        <f>Table1[[#This Row],[taxable wages]]+interest+dividends+short_term_capital_gains+long_term_capital_gains</f>
        <v>191000</v>
      </c>
      <c r="E419" s="1">
        <f>MAX(Table1[[#This Row],[earned income for EITC]:[Agi For Eitc Calc]])</f>
        <v>191000</v>
      </c>
      <c r="F419" s="1">
        <f>Table1[[#This Row],[taxable wages]]+interest+dividends+short_term_capital_gains+long_term_capital_gains-(trad_ira_contributions+MIN(student_loan_interest_cap,student_loan_interest))</f>
        <v>191000</v>
      </c>
      <c r="G419" s="1">
        <f t="shared" si="33"/>
        <v>12600</v>
      </c>
      <c r="H419" s="1">
        <f t="shared" si="34"/>
        <v>28350</v>
      </c>
      <c r="I419" s="1">
        <f>MAX(0,Table1[[#This Row],[Agi]]-Table1[[#This Row],[Exemptions]]-Table1[[#This Row],[Effective Deductions]])</f>
        <v>150050</v>
      </c>
      <c r="J4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29055</v>
      </c>
      <c r="K419" s="1">
        <f t="shared" si="35"/>
        <v>5000</v>
      </c>
      <c r="L419" s="1">
        <f>IF(Table1[[#This Row],[Agi]]&gt;ctc_phase_out_begins,ctc_phase_out_rate*(Table1[[#This Row],[Agi]]-ctc_phase_out_begins),0)</f>
        <v>4050</v>
      </c>
      <c r="M419" s="1">
        <f>MAX(Table1[[#This Row],[Child Tax Credit]]-Table1[[#This Row],[Child Tax Credit Phase Out]],0)</f>
        <v>950</v>
      </c>
      <c r="N419" s="1">
        <f>MAX(Table1[[#This Row],[Regular Taxes Owed]]-Table1[[#This Row],[Effective Child Tax Credit]],0)</f>
        <v>28105</v>
      </c>
      <c r="O419" s="1">
        <f>MAX(MIN((Table1[[#This Row],[taxable wages]]-3000)*0.15,1000*num_kids_16_younger),0)</f>
        <v>5000</v>
      </c>
      <c r="P419" s="9">
        <f>IF(Table1[[#This Row],[Effective Child Tax Credit]]&gt;Table1[[#This Row],[Regular Taxes Owed]],Table1[[#This Row],[Additional Child Tax Credit ]]-Table1[[#This Row],[Regular Taxes Owed]],0)</f>
        <v>0</v>
      </c>
      <c r="Q4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19" s="1">
        <f>Table1[[#This Row],[Effective Additional Child Tax Credit]]+Table1[[#This Row],[Eitc]]</f>
        <v>0</v>
      </c>
      <c r="S419" s="9">
        <f>Table1[[#This Row],[Regular Taxes Owed - Effective Child Tax Credit]]-Table1[[#This Row],[Total Credits]]</f>
        <v>28105</v>
      </c>
      <c r="T419" s="9">
        <f>Table1[[#This Row],[taxable wages]]+interest+dividends+short_term_capital_gains+long_term_capital_gains-(charitable_donations+mortgage_interest)</f>
        <v>191000</v>
      </c>
      <c r="U419" s="9">
        <f>MAX(amt_exemption-amt_exemption_phase_out_rate*MAX(Table1[[#This Row],[taxable wages]]-amt_phase_out_begins,0),0)</f>
        <v>75975</v>
      </c>
      <c r="V4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29906.5</v>
      </c>
      <c r="W419" s="1">
        <f>IF(AND(Table1[[#This Row],[AMT Taxes]]&gt;Table1[[#This Row],[Regular Taxes Owed]],Table1[[#This Row],[AMT Taxes]]&gt;0),Table1[[#This Row],[AMT Taxes]]-Table1[[#This Row],[Regular Taxes Owed]],0)</f>
        <v>851.5</v>
      </c>
      <c r="X419" s="9">
        <f>Table1[[#This Row],[Extra Taxes From Amt]]+Table1[[#This Row],[Federal Taxes Owed (No AMT)]]</f>
        <v>28956.5</v>
      </c>
      <c r="Y419" s="9">
        <f>IF(Table1[[#This Row],[taxable wages]]&gt;obamacare_surcharge_amount,obamacare_surcharge_percent*(Table1[[#This Row],[taxable wages]]-obamacare_surcharge_amount),0)</f>
        <v>0</v>
      </c>
      <c r="Z419" s="9">
        <f>Table1[[#This Row],[Federal Taxes Owed (Includes AMT)]]+Table1[[#This Row],[Obamacare surcharge premium]]</f>
        <v>28956.5</v>
      </c>
      <c r="AA419" s="9">
        <f>Table1[[#This Row],[taxable wages]]-Table1[[#This Row],[Federal Taxes Owed2]]</f>
        <v>162043.5</v>
      </c>
      <c r="AB419" s="51">
        <f t="shared" si="36"/>
        <v>0.375</v>
      </c>
      <c r="AC419" s="41"/>
      <c r="AD419" s="13"/>
      <c r="AE419" s="13"/>
    </row>
    <row r="420" spans="2:31" x14ac:dyDescent="0.3">
      <c r="B420" s="41">
        <f t="shared" si="37"/>
        <v>191500</v>
      </c>
      <c r="C420" s="1">
        <f>Table1[[#This Row],[taxable wages]]</f>
        <v>191500</v>
      </c>
      <c r="D420" s="1">
        <f>Table1[[#This Row],[taxable wages]]+interest+dividends+short_term_capital_gains+long_term_capital_gains</f>
        <v>191500</v>
      </c>
      <c r="E420" s="1">
        <f>MAX(Table1[[#This Row],[earned income for EITC]:[Agi For Eitc Calc]])</f>
        <v>191500</v>
      </c>
      <c r="F420" s="1">
        <f>Table1[[#This Row],[taxable wages]]+interest+dividends+short_term_capital_gains+long_term_capital_gains-(trad_ira_contributions+MIN(student_loan_interest_cap,student_loan_interest))</f>
        <v>191500</v>
      </c>
      <c r="G420" s="1">
        <f t="shared" si="33"/>
        <v>12600</v>
      </c>
      <c r="H420" s="1">
        <f t="shared" si="34"/>
        <v>28350</v>
      </c>
      <c r="I420" s="1">
        <f>MAX(0,Table1[[#This Row],[Agi]]-Table1[[#This Row],[Exemptions]]-Table1[[#This Row],[Effective Deductions]])</f>
        <v>150550</v>
      </c>
      <c r="J4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29180</v>
      </c>
      <c r="K420" s="1">
        <f t="shared" si="35"/>
        <v>5000</v>
      </c>
      <c r="L420" s="1">
        <f>IF(Table1[[#This Row],[Agi]]&gt;ctc_phase_out_begins,ctc_phase_out_rate*(Table1[[#This Row],[Agi]]-ctc_phase_out_begins),0)</f>
        <v>4075</v>
      </c>
      <c r="M420" s="1">
        <f>MAX(Table1[[#This Row],[Child Tax Credit]]-Table1[[#This Row],[Child Tax Credit Phase Out]],0)</f>
        <v>925</v>
      </c>
      <c r="N420" s="1">
        <f>MAX(Table1[[#This Row],[Regular Taxes Owed]]-Table1[[#This Row],[Effective Child Tax Credit]],0)</f>
        <v>28255</v>
      </c>
      <c r="O420" s="1">
        <f>MAX(MIN((Table1[[#This Row],[taxable wages]]-3000)*0.15,1000*num_kids_16_younger),0)</f>
        <v>5000</v>
      </c>
      <c r="P420" s="9">
        <f>IF(Table1[[#This Row],[Effective Child Tax Credit]]&gt;Table1[[#This Row],[Regular Taxes Owed]],Table1[[#This Row],[Additional Child Tax Credit ]]-Table1[[#This Row],[Regular Taxes Owed]],0)</f>
        <v>0</v>
      </c>
      <c r="Q4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0" s="1">
        <f>Table1[[#This Row],[Effective Additional Child Tax Credit]]+Table1[[#This Row],[Eitc]]</f>
        <v>0</v>
      </c>
      <c r="S420" s="9">
        <f>Table1[[#This Row],[Regular Taxes Owed - Effective Child Tax Credit]]-Table1[[#This Row],[Total Credits]]</f>
        <v>28255</v>
      </c>
      <c r="T420" s="9">
        <f>Table1[[#This Row],[taxable wages]]+interest+dividends+short_term_capital_gains+long_term_capital_gains-(charitable_donations+mortgage_interest)</f>
        <v>191500</v>
      </c>
      <c r="U420" s="9">
        <f>MAX(amt_exemption-amt_exemption_phase_out_rate*MAX(Table1[[#This Row],[taxable wages]]-amt_phase_out_begins,0),0)</f>
        <v>75850</v>
      </c>
      <c r="V4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30069</v>
      </c>
      <c r="W420" s="1">
        <f>IF(AND(Table1[[#This Row],[AMT Taxes]]&gt;Table1[[#This Row],[Regular Taxes Owed]],Table1[[#This Row],[AMT Taxes]]&gt;0),Table1[[#This Row],[AMT Taxes]]-Table1[[#This Row],[Regular Taxes Owed]],0)</f>
        <v>889</v>
      </c>
      <c r="X420" s="9">
        <f>Table1[[#This Row],[Extra Taxes From Amt]]+Table1[[#This Row],[Federal Taxes Owed (No AMT)]]</f>
        <v>29144</v>
      </c>
      <c r="Y420" s="9">
        <f>IF(Table1[[#This Row],[taxable wages]]&gt;obamacare_surcharge_amount,obamacare_surcharge_percent*(Table1[[#This Row],[taxable wages]]-obamacare_surcharge_amount),0)</f>
        <v>0</v>
      </c>
      <c r="Z420" s="9">
        <f>Table1[[#This Row],[Federal Taxes Owed (Includes AMT)]]+Table1[[#This Row],[Obamacare surcharge premium]]</f>
        <v>29144</v>
      </c>
      <c r="AA420" s="9">
        <f>Table1[[#This Row],[taxable wages]]-Table1[[#This Row],[Federal Taxes Owed2]]</f>
        <v>162356</v>
      </c>
      <c r="AB420" s="51">
        <f t="shared" si="36"/>
        <v>0.375</v>
      </c>
      <c r="AC420" s="41"/>
      <c r="AD420" s="13"/>
      <c r="AE420" s="13"/>
    </row>
    <row r="421" spans="2:31" x14ac:dyDescent="0.3">
      <c r="B421" s="41">
        <f t="shared" si="37"/>
        <v>192000</v>
      </c>
      <c r="C421" s="1">
        <f>Table1[[#This Row],[taxable wages]]</f>
        <v>192000</v>
      </c>
      <c r="D421" s="1">
        <f>Table1[[#This Row],[taxable wages]]+interest+dividends+short_term_capital_gains+long_term_capital_gains</f>
        <v>192000</v>
      </c>
      <c r="E421" s="1">
        <f>MAX(Table1[[#This Row],[earned income for EITC]:[Agi For Eitc Calc]])</f>
        <v>192000</v>
      </c>
      <c r="F421" s="1">
        <f>Table1[[#This Row],[taxable wages]]+interest+dividends+short_term_capital_gains+long_term_capital_gains-(trad_ira_contributions+MIN(student_loan_interest_cap,student_loan_interest))</f>
        <v>192000</v>
      </c>
      <c r="G421" s="1">
        <f t="shared" si="33"/>
        <v>12600</v>
      </c>
      <c r="H421" s="1">
        <f t="shared" si="34"/>
        <v>28350</v>
      </c>
      <c r="I421" s="1">
        <f>MAX(0,Table1[[#This Row],[Agi]]-Table1[[#This Row],[Exemptions]]-Table1[[#This Row],[Effective Deductions]])</f>
        <v>151050</v>
      </c>
      <c r="J4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29305</v>
      </c>
      <c r="K421" s="1">
        <f t="shared" si="35"/>
        <v>5000</v>
      </c>
      <c r="L421" s="1">
        <f>IF(Table1[[#This Row],[Agi]]&gt;ctc_phase_out_begins,ctc_phase_out_rate*(Table1[[#This Row],[Agi]]-ctc_phase_out_begins),0)</f>
        <v>4100</v>
      </c>
      <c r="M421" s="1">
        <f>MAX(Table1[[#This Row],[Child Tax Credit]]-Table1[[#This Row],[Child Tax Credit Phase Out]],0)</f>
        <v>900</v>
      </c>
      <c r="N421" s="1">
        <f>MAX(Table1[[#This Row],[Regular Taxes Owed]]-Table1[[#This Row],[Effective Child Tax Credit]],0)</f>
        <v>28405</v>
      </c>
      <c r="O421" s="1">
        <f>MAX(MIN((Table1[[#This Row],[taxable wages]]-3000)*0.15,1000*num_kids_16_younger),0)</f>
        <v>5000</v>
      </c>
      <c r="P421" s="9">
        <f>IF(Table1[[#This Row],[Effective Child Tax Credit]]&gt;Table1[[#This Row],[Regular Taxes Owed]],Table1[[#This Row],[Additional Child Tax Credit ]]-Table1[[#This Row],[Regular Taxes Owed]],0)</f>
        <v>0</v>
      </c>
      <c r="Q4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1" s="1">
        <f>Table1[[#This Row],[Effective Additional Child Tax Credit]]+Table1[[#This Row],[Eitc]]</f>
        <v>0</v>
      </c>
      <c r="S421" s="9">
        <f>Table1[[#This Row],[Regular Taxes Owed - Effective Child Tax Credit]]-Table1[[#This Row],[Total Credits]]</f>
        <v>28405</v>
      </c>
      <c r="T421" s="9">
        <f>Table1[[#This Row],[taxable wages]]+interest+dividends+short_term_capital_gains+long_term_capital_gains-(charitable_donations+mortgage_interest)</f>
        <v>192000</v>
      </c>
      <c r="U421" s="9">
        <f>MAX(amt_exemption-amt_exemption_phase_out_rate*MAX(Table1[[#This Row],[taxable wages]]-amt_phase_out_begins,0),0)</f>
        <v>75725</v>
      </c>
      <c r="V4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30231.5</v>
      </c>
      <c r="W421" s="1">
        <f>IF(AND(Table1[[#This Row],[AMT Taxes]]&gt;Table1[[#This Row],[Regular Taxes Owed]],Table1[[#This Row],[AMT Taxes]]&gt;0),Table1[[#This Row],[AMT Taxes]]-Table1[[#This Row],[Regular Taxes Owed]],0)</f>
        <v>926.5</v>
      </c>
      <c r="X421" s="9">
        <f>Table1[[#This Row],[Extra Taxes From Amt]]+Table1[[#This Row],[Federal Taxes Owed (No AMT)]]</f>
        <v>29331.5</v>
      </c>
      <c r="Y421" s="9">
        <f>IF(Table1[[#This Row],[taxable wages]]&gt;obamacare_surcharge_amount,obamacare_surcharge_percent*(Table1[[#This Row],[taxable wages]]-obamacare_surcharge_amount),0)</f>
        <v>0</v>
      </c>
      <c r="Z421" s="9">
        <f>Table1[[#This Row],[Federal Taxes Owed (Includes AMT)]]+Table1[[#This Row],[Obamacare surcharge premium]]</f>
        <v>29331.5</v>
      </c>
      <c r="AA421" s="9">
        <f>Table1[[#This Row],[taxable wages]]-Table1[[#This Row],[Federal Taxes Owed2]]</f>
        <v>162668.5</v>
      </c>
      <c r="AB421" s="51">
        <f t="shared" si="36"/>
        <v>0.375</v>
      </c>
      <c r="AC421" s="41"/>
      <c r="AD421" s="13"/>
      <c r="AE421" s="13"/>
    </row>
    <row r="422" spans="2:31" x14ac:dyDescent="0.3">
      <c r="B422" s="41">
        <f t="shared" si="37"/>
        <v>192500</v>
      </c>
      <c r="C422" s="1">
        <f>Table1[[#This Row],[taxable wages]]</f>
        <v>192500</v>
      </c>
      <c r="D422" s="1">
        <f>Table1[[#This Row],[taxable wages]]+interest+dividends+short_term_capital_gains+long_term_capital_gains</f>
        <v>192500</v>
      </c>
      <c r="E422" s="1">
        <f>MAX(Table1[[#This Row],[earned income for EITC]:[Agi For Eitc Calc]])</f>
        <v>192500</v>
      </c>
      <c r="F422" s="1">
        <f>Table1[[#This Row],[taxable wages]]+interest+dividends+short_term_capital_gains+long_term_capital_gains-(trad_ira_contributions+MIN(student_loan_interest_cap,student_loan_interest))</f>
        <v>192500</v>
      </c>
      <c r="G422" s="1">
        <f t="shared" ref="G422:G485" si="38">MAX(standard_deduction,mortgage_interest+real_estate_property_taxes+state_income_tax_paid+charitable_donations+medical_expenses)</f>
        <v>12600</v>
      </c>
      <c r="H422" s="1">
        <f t="shared" ref="H422:H485" si="39">num_people_in_family*personal_exemption</f>
        <v>28350</v>
      </c>
      <c r="I422" s="1">
        <f>MAX(0,Table1[[#This Row],[Agi]]-Table1[[#This Row],[Exemptions]]-Table1[[#This Row],[Effective Deductions]])</f>
        <v>151550</v>
      </c>
      <c r="J4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29430</v>
      </c>
      <c r="K422" s="1">
        <f t="shared" ref="K422:K485" si="40">child_tax_credit*num_kids_16_younger</f>
        <v>5000</v>
      </c>
      <c r="L422" s="1">
        <f>IF(Table1[[#This Row],[Agi]]&gt;ctc_phase_out_begins,ctc_phase_out_rate*(Table1[[#This Row],[Agi]]-ctc_phase_out_begins),0)</f>
        <v>4125</v>
      </c>
      <c r="M422" s="1">
        <f>MAX(Table1[[#This Row],[Child Tax Credit]]-Table1[[#This Row],[Child Tax Credit Phase Out]],0)</f>
        <v>875</v>
      </c>
      <c r="N422" s="1">
        <f>MAX(Table1[[#This Row],[Regular Taxes Owed]]-Table1[[#This Row],[Effective Child Tax Credit]],0)</f>
        <v>28555</v>
      </c>
      <c r="O422" s="1">
        <f>MAX(MIN((Table1[[#This Row],[taxable wages]]-3000)*0.15,1000*num_kids_16_younger),0)</f>
        <v>5000</v>
      </c>
      <c r="P422" s="9">
        <f>IF(Table1[[#This Row],[Effective Child Tax Credit]]&gt;Table1[[#This Row],[Regular Taxes Owed]],Table1[[#This Row],[Additional Child Tax Credit ]]-Table1[[#This Row],[Regular Taxes Owed]],0)</f>
        <v>0</v>
      </c>
      <c r="Q4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2" s="1">
        <f>Table1[[#This Row],[Effective Additional Child Tax Credit]]+Table1[[#This Row],[Eitc]]</f>
        <v>0</v>
      </c>
      <c r="S422" s="9">
        <f>Table1[[#This Row],[Regular Taxes Owed - Effective Child Tax Credit]]-Table1[[#This Row],[Total Credits]]</f>
        <v>28555</v>
      </c>
      <c r="T422" s="9">
        <f>Table1[[#This Row],[taxable wages]]+interest+dividends+short_term_capital_gains+long_term_capital_gains-(charitable_donations+mortgage_interest)</f>
        <v>192500</v>
      </c>
      <c r="U422" s="9">
        <f>MAX(amt_exemption-amt_exemption_phase_out_rate*MAX(Table1[[#This Row],[taxable wages]]-amt_phase_out_begins,0),0)</f>
        <v>75600</v>
      </c>
      <c r="V4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30394</v>
      </c>
      <c r="W422" s="1">
        <f>IF(AND(Table1[[#This Row],[AMT Taxes]]&gt;Table1[[#This Row],[Regular Taxes Owed]],Table1[[#This Row],[AMT Taxes]]&gt;0),Table1[[#This Row],[AMT Taxes]]-Table1[[#This Row],[Regular Taxes Owed]],0)</f>
        <v>964</v>
      </c>
      <c r="X422" s="9">
        <f>Table1[[#This Row],[Extra Taxes From Amt]]+Table1[[#This Row],[Federal Taxes Owed (No AMT)]]</f>
        <v>29519</v>
      </c>
      <c r="Y422" s="9">
        <f>IF(Table1[[#This Row],[taxable wages]]&gt;obamacare_surcharge_amount,obamacare_surcharge_percent*(Table1[[#This Row],[taxable wages]]-obamacare_surcharge_amount),0)</f>
        <v>0</v>
      </c>
      <c r="Z422" s="9">
        <f>Table1[[#This Row],[Federal Taxes Owed (Includes AMT)]]+Table1[[#This Row],[Obamacare surcharge premium]]</f>
        <v>29519</v>
      </c>
      <c r="AA422" s="9">
        <f>Table1[[#This Row],[taxable wages]]-Table1[[#This Row],[Federal Taxes Owed2]]</f>
        <v>162981</v>
      </c>
      <c r="AB422" s="51">
        <f t="shared" si="36"/>
        <v>0.375</v>
      </c>
      <c r="AC422" s="41"/>
      <c r="AD422" s="13"/>
      <c r="AE422" s="13"/>
    </row>
    <row r="423" spans="2:31" x14ac:dyDescent="0.3">
      <c r="B423" s="41">
        <f t="shared" si="37"/>
        <v>193000</v>
      </c>
      <c r="C423" s="1">
        <f>Table1[[#This Row],[taxable wages]]</f>
        <v>193000</v>
      </c>
      <c r="D423" s="1">
        <f>Table1[[#This Row],[taxable wages]]+interest+dividends+short_term_capital_gains+long_term_capital_gains</f>
        <v>193000</v>
      </c>
      <c r="E423" s="1">
        <f>MAX(Table1[[#This Row],[earned income for EITC]:[Agi For Eitc Calc]])</f>
        <v>193000</v>
      </c>
      <c r="F423" s="1">
        <f>Table1[[#This Row],[taxable wages]]+interest+dividends+short_term_capital_gains+long_term_capital_gains-(trad_ira_contributions+MIN(student_loan_interest_cap,student_loan_interest))</f>
        <v>193000</v>
      </c>
      <c r="G423" s="1">
        <f t="shared" si="38"/>
        <v>12600</v>
      </c>
      <c r="H423" s="1">
        <f t="shared" si="39"/>
        <v>28350</v>
      </c>
      <c r="I423" s="1">
        <f>MAX(0,Table1[[#This Row],[Agi]]-Table1[[#This Row],[Exemptions]]-Table1[[#This Row],[Effective Deductions]])</f>
        <v>152050</v>
      </c>
      <c r="J4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29559.5</v>
      </c>
      <c r="K423" s="1">
        <f t="shared" si="40"/>
        <v>5000</v>
      </c>
      <c r="L423" s="1">
        <f>IF(Table1[[#This Row],[Agi]]&gt;ctc_phase_out_begins,ctc_phase_out_rate*(Table1[[#This Row],[Agi]]-ctc_phase_out_begins),0)</f>
        <v>4150</v>
      </c>
      <c r="M423" s="1">
        <f>MAX(Table1[[#This Row],[Child Tax Credit]]-Table1[[#This Row],[Child Tax Credit Phase Out]],0)</f>
        <v>850</v>
      </c>
      <c r="N423" s="1">
        <f>MAX(Table1[[#This Row],[Regular Taxes Owed]]-Table1[[#This Row],[Effective Child Tax Credit]],0)</f>
        <v>28709.5</v>
      </c>
      <c r="O423" s="1">
        <f>MAX(MIN((Table1[[#This Row],[taxable wages]]-3000)*0.15,1000*num_kids_16_younger),0)</f>
        <v>5000</v>
      </c>
      <c r="P423" s="9">
        <f>IF(Table1[[#This Row],[Effective Child Tax Credit]]&gt;Table1[[#This Row],[Regular Taxes Owed]],Table1[[#This Row],[Additional Child Tax Credit ]]-Table1[[#This Row],[Regular Taxes Owed]],0)</f>
        <v>0</v>
      </c>
      <c r="Q4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3" s="1">
        <f>Table1[[#This Row],[Effective Additional Child Tax Credit]]+Table1[[#This Row],[Eitc]]</f>
        <v>0</v>
      </c>
      <c r="S423" s="9">
        <f>Table1[[#This Row],[Regular Taxes Owed - Effective Child Tax Credit]]-Table1[[#This Row],[Total Credits]]</f>
        <v>28709.5</v>
      </c>
      <c r="T423" s="9">
        <f>Table1[[#This Row],[taxable wages]]+interest+dividends+short_term_capital_gains+long_term_capital_gains-(charitable_donations+mortgage_interest)</f>
        <v>193000</v>
      </c>
      <c r="U423" s="9">
        <f>MAX(amt_exemption-amt_exemption_phase_out_rate*MAX(Table1[[#This Row],[taxable wages]]-amt_phase_out_begins,0),0)</f>
        <v>75475</v>
      </c>
      <c r="V4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30556.5</v>
      </c>
      <c r="W423" s="1">
        <f>IF(AND(Table1[[#This Row],[AMT Taxes]]&gt;Table1[[#This Row],[Regular Taxes Owed]],Table1[[#This Row],[AMT Taxes]]&gt;0),Table1[[#This Row],[AMT Taxes]]-Table1[[#This Row],[Regular Taxes Owed]],0)</f>
        <v>997</v>
      </c>
      <c r="X423" s="9">
        <f>Table1[[#This Row],[Extra Taxes From Amt]]+Table1[[#This Row],[Federal Taxes Owed (No AMT)]]</f>
        <v>29706.5</v>
      </c>
      <c r="Y423" s="9">
        <f>IF(Table1[[#This Row],[taxable wages]]&gt;obamacare_surcharge_amount,obamacare_surcharge_percent*(Table1[[#This Row],[taxable wages]]-obamacare_surcharge_amount),0)</f>
        <v>0</v>
      </c>
      <c r="Z423" s="9">
        <f>Table1[[#This Row],[Federal Taxes Owed (Includes AMT)]]+Table1[[#This Row],[Obamacare surcharge premium]]</f>
        <v>29706.5</v>
      </c>
      <c r="AA423" s="9">
        <f>Table1[[#This Row],[taxable wages]]-Table1[[#This Row],[Federal Taxes Owed2]]</f>
        <v>163293.5</v>
      </c>
      <c r="AB423" s="51">
        <f t="shared" ref="AB423:AB486" si="41">(Z423-Z422)/(B423-B422)</f>
        <v>0.375</v>
      </c>
      <c r="AC423" s="41"/>
      <c r="AD423" s="13"/>
      <c r="AE423" s="13"/>
    </row>
    <row r="424" spans="2:31" x14ac:dyDescent="0.3">
      <c r="B424" s="41">
        <f t="shared" ref="B424:B487" si="42">B423+500</f>
        <v>193500</v>
      </c>
      <c r="C424" s="1">
        <f>Table1[[#This Row],[taxable wages]]</f>
        <v>193500</v>
      </c>
      <c r="D424" s="1">
        <f>Table1[[#This Row],[taxable wages]]+interest+dividends+short_term_capital_gains+long_term_capital_gains</f>
        <v>193500</v>
      </c>
      <c r="E424" s="1">
        <f>MAX(Table1[[#This Row],[earned income for EITC]:[Agi For Eitc Calc]])</f>
        <v>193500</v>
      </c>
      <c r="F424" s="1">
        <f>Table1[[#This Row],[taxable wages]]+interest+dividends+short_term_capital_gains+long_term_capital_gains-(trad_ira_contributions+MIN(student_loan_interest_cap,student_loan_interest))</f>
        <v>193500</v>
      </c>
      <c r="G424" s="1">
        <f t="shared" si="38"/>
        <v>12600</v>
      </c>
      <c r="H424" s="1">
        <f t="shared" si="39"/>
        <v>28350</v>
      </c>
      <c r="I424" s="1">
        <f>MAX(0,Table1[[#This Row],[Agi]]-Table1[[#This Row],[Exemptions]]-Table1[[#This Row],[Effective Deductions]])</f>
        <v>152550</v>
      </c>
      <c r="J4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29699.5</v>
      </c>
      <c r="K424" s="1">
        <f t="shared" si="40"/>
        <v>5000</v>
      </c>
      <c r="L424" s="1">
        <f>IF(Table1[[#This Row],[Agi]]&gt;ctc_phase_out_begins,ctc_phase_out_rate*(Table1[[#This Row],[Agi]]-ctc_phase_out_begins),0)</f>
        <v>4175</v>
      </c>
      <c r="M424" s="1">
        <f>MAX(Table1[[#This Row],[Child Tax Credit]]-Table1[[#This Row],[Child Tax Credit Phase Out]],0)</f>
        <v>825</v>
      </c>
      <c r="N424" s="1">
        <f>MAX(Table1[[#This Row],[Regular Taxes Owed]]-Table1[[#This Row],[Effective Child Tax Credit]],0)</f>
        <v>28874.5</v>
      </c>
      <c r="O424" s="1">
        <f>MAX(MIN((Table1[[#This Row],[taxable wages]]-3000)*0.15,1000*num_kids_16_younger),0)</f>
        <v>5000</v>
      </c>
      <c r="P424" s="9">
        <f>IF(Table1[[#This Row],[Effective Child Tax Credit]]&gt;Table1[[#This Row],[Regular Taxes Owed]],Table1[[#This Row],[Additional Child Tax Credit ]]-Table1[[#This Row],[Regular Taxes Owed]],0)</f>
        <v>0</v>
      </c>
      <c r="Q4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4" s="1">
        <f>Table1[[#This Row],[Effective Additional Child Tax Credit]]+Table1[[#This Row],[Eitc]]</f>
        <v>0</v>
      </c>
      <c r="S424" s="9">
        <f>Table1[[#This Row],[Regular Taxes Owed - Effective Child Tax Credit]]-Table1[[#This Row],[Total Credits]]</f>
        <v>28874.5</v>
      </c>
      <c r="T424" s="9">
        <f>Table1[[#This Row],[taxable wages]]+interest+dividends+short_term_capital_gains+long_term_capital_gains-(charitable_donations+mortgage_interest)</f>
        <v>193500</v>
      </c>
      <c r="U424" s="9">
        <f>MAX(amt_exemption-amt_exemption_phase_out_rate*MAX(Table1[[#This Row],[taxable wages]]-amt_phase_out_begins,0),0)</f>
        <v>75350</v>
      </c>
      <c r="V4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30719</v>
      </c>
      <c r="W424" s="1">
        <f>IF(AND(Table1[[#This Row],[AMT Taxes]]&gt;Table1[[#This Row],[Regular Taxes Owed]],Table1[[#This Row],[AMT Taxes]]&gt;0),Table1[[#This Row],[AMT Taxes]]-Table1[[#This Row],[Regular Taxes Owed]],0)</f>
        <v>1019.5</v>
      </c>
      <c r="X424" s="9">
        <f>Table1[[#This Row],[Extra Taxes From Amt]]+Table1[[#This Row],[Federal Taxes Owed (No AMT)]]</f>
        <v>29894</v>
      </c>
      <c r="Y424" s="9">
        <f>IF(Table1[[#This Row],[taxable wages]]&gt;obamacare_surcharge_amount,obamacare_surcharge_percent*(Table1[[#This Row],[taxable wages]]-obamacare_surcharge_amount),0)</f>
        <v>0</v>
      </c>
      <c r="Z424" s="9">
        <f>Table1[[#This Row],[Federal Taxes Owed (Includes AMT)]]+Table1[[#This Row],[Obamacare surcharge premium]]</f>
        <v>29894</v>
      </c>
      <c r="AA424" s="9">
        <f>Table1[[#This Row],[taxable wages]]-Table1[[#This Row],[Federal Taxes Owed2]]</f>
        <v>163606</v>
      </c>
      <c r="AB424" s="51">
        <f t="shared" si="41"/>
        <v>0.375</v>
      </c>
      <c r="AC424" s="41"/>
      <c r="AD424" s="13"/>
      <c r="AE424" s="13"/>
    </row>
    <row r="425" spans="2:31" x14ac:dyDescent="0.3">
      <c r="B425" s="41">
        <f t="shared" si="42"/>
        <v>194000</v>
      </c>
      <c r="C425" s="1">
        <f>Table1[[#This Row],[taxable wages]]</f>
        <v>194000</v>
      </c>
      <c r="D425" s="1">
        <f>Table1[[#This Row],[taxable wages]]+interest+dividends+short_term_capital_gains+long_term_capital_gains</f>
        <v>194000</v>
      </c>
      <c r="E425" s="1">
        <f>MAX(Table1[[#This Row],[earned income for EITC]:[Agi For Eitc Calc]])</f>
        <v>194000</v>
      </c>
      <c r="F425" s="1">
        <f>Table1[[#This Row],[taxable wages]]+interest+dividends+short_term_capital_gains+long_term_capital_gains-(trad_ira_contributions+MIN(student_loan_interest_cap,student_loan_interest))</f>
        <v>194000</v>
      </c>
      <c r="G425" s="1">
        <f t="shared" si="38"/>
        <v>12600</v>
      </c>
      <c r="H425" s="1">
        <f t="shared" si="39"/>
        <v>28350</v>
      </c>
      <c r="I425" s="1">
        <f>MAX(0,Table1[[#This Row],[Agi]]-Table1[[#This Row],[Exemptions]]-Table1[[#This Row],[Effective Deductions]])</f>
        <v>153050</v>
      </c>
      <c r="J4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29839.5</v>
      </c>
      <c r="K425" s="1">
        <f t="shared" si="40"/>
        <v>5000</v>
      </c>
      <c r="L425" s="1">
        <f>IF(Table1[[#This Row],[Agi]]&gt;ctc_phase_out_begins,ctc_phase_out_rate*(Table1[[#This Row],[Agi]]-ctc_phase_out_begins),0)</f>
        <v>4200</v>
      </c>
      <c r="M425" s="1">
        <f>MAX(Table1[[#This Row],[Child Tax Credit]]-Table1[[#This Row],[Child Tax Credit Phase Out]],0)</f>
        <v>800</v>
      </c>
      <c r="N425" s="1">
        <f>MAX(Table1[[#This Row],[Regular Taxes Owed]]-Table1[[#This Row],[Effective Child Tax Credit]],0)</f>
        <v>29039.5</v>
      </c>
      <c r="O425" s="1">
        <f>MAX(MIN((Table1[[#This Row],[taxable wages]]-3000)*0.15,1000*num_kids_16_younger),0)</f>
        <v>5000</v>
      </c>
      <c r="P425" s="9">
        <f>IF(Table1[[#This Row],[Effective Child Tax Credit]]&gt;Table1[[#This Row],[Regular Taxes Owed]],Table1[[#This Row],[Additional Child Tax Credit ]]-Table1[[#This Row],[Regular Taxes Owed]],0)</f>
        <v>0</v>
      </c>
      <c r="Q4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5" s="1">
        <f>Table1[[#This Row],[Effective Additional Child Tax Credit]]+Table1[[#This Row],[Eitc]]</f>
        <v>0</v>
      </c>
      <c r="S425" s="9">
        <f>Table1[[#This Row],[Regular Taxes Owed - Effective Child Tax Credit]]-Table1[[#This Row],[Total Credits]]</f>
        <v>29039.5</v>
      </c>
      <c r="T425" s="9">
        <f>Table1[[#This Row],[taxable wages]]+interest+dividends+short_term_capital_gains+long_term_capital_gains-(charitable_donations+mortgage_interest)</f>
        <v>194000</v>
      </c>
      <c r="U425" s="9">
        <f>MAX(amt_exemption-amt_exemption_phase_out_rate*MAX(Table1[[#This Row],[taxable wages]]-amt_phase_out_begins,0),0)</f>
        <v>75225</v>
      </c>
      <c r="V4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30881.5</v>
      </c>
      <c r="W425" s="1">
        <f>IF(AND(Table1[[#This Row],[AMT Taxes]]&gt;Table1[[#This Row],[Regular Taxes Owed]],Table1[[#This Row],[AMT Taxes]]&gt;0),Table1[[#This Row],[AMT Taxes]]-Table1[[#This Row],[Regular Taxes Owed]],0)</f>
        <v>1042</v>
      </c>
      <c r="X425" s="9">
        <f>Table1[[#This Row],[Extra Taxes From Amt]]+Table1[[#This Row],[Federal Taxes Owed (No AMT)]]</f>
        <v>30081.5</v>
      </c>
      <c r="Y425" s="9">
        <f>IF(Table1[[#This Row],[taxable wages]]&gt;obamacare_surcharge_amount,obamacare_surcharge_percent*(Table1[[#This Row],[taxable wages]]-obamacare_surcharge_amount),0)</f>
        <v>0</v>
      </c>
      <c r="Z425" s="9">
        <f>Table1[[#This Row],[Federal Taxes Owed (Includes AMT)]]+Table1[[#This Row],[Obamacare surcharge premium]]</f>
        <v>30081.5</v>
      </c>
      <c r="AA425" s="9">
        <f>Table1[[#This Row],[taxable wages]]-Table1[[#This Row],[Federal Taxes Owed2]]</f>
        <v>163918.5</v>
      </c>
      <c r="AB425" s="51">
        <f t="shared" si="41"/>
        <v>0.375</v>
      </c>
      <c r="AC425" s="41"/>
      <c r="AD425" s="13"/>
      <c r="AE425" s="13"/>
    </row>
    <row r="426" spans="2:31" x14ac:dyDescent="0.3">
      <c r="B426" s="41">
        <f t="shared" si="42"/>
        <v>194500</v>
      </c>
      <c r="C426" s="1">
        <f>Table1[[#This Row],[taxable wages]]</f>
        <v>194500</v>
      </c>
      <c r="D426" s="1">
        <f>Table1[[#This Row],[taxable wages]]+interest+dividends+short_term_capital_gains+long_term_capital_gains</f>
        <v>194500</v>
      </c>
      <c r="E426" s="1">
        <f>MAX(Table1[[#This Row],[earned income for EITC]:[Agi For Eitc Calc]])</f>
        <v>194500</v>
      </c>
      <c r="F426" s="1">
        <f>Table1[[#This Row],[taxable wages]]+interest+dividends+short_term_capital_gains+long_term_capital_gains-(trad_ira_contributions+MIN(student_loan_interest_cap,student_loan_interest))</f>
        <v>194500</v>
      </c>
      <c r="G426" s="1">
        <f t="shared" si="38"/>
        <v>12600</v>
      </c>
      <c r="H426" s="1">
        <f t="shared" si="39"/>
        <v>28350</v>
      </c>
      <c r="I426" s="1">
        <f>MAX(0,Table1[[#This Row],[Agi]]-Table1[[#This Row],[Exemptions]]-Table1[[#This Row],[Effective Deductions]])</f>
        <v>153550</v>
      </c>
      <c r="J4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29979.5</v>
      </c>
      <c r="K426" s="1">
        <f t="shared" si="40"/>
        <v>5000</v>
      </c>
      <c r="L426" s="1">
        <f>IF(Table1[[#This Row],[Agi]]&gt;ctc_phase_out_begins,ctc_phase_out_rate*(Table1[[#This Row],[Agi]]-ctc_phase_out_begins),0)</f>
        <v>4225</v>
      </c>
      <c r="M426" s="1">
        <f>MAX(Table1[[#This Row],[Child Tax Credit]]-Table1[[#This Row],[Child Tax Credit Phase Out]],0)</f>
        <v>775</v>
      </c>
      <c r="N426" s="1">
        <f>MAX(Table1[[#This Row],[Regular Taxes Owed]]-Table1[[#This Row],[Effective Child Tax Credit]],0)</f>
        <v>29204.5</v>
      </c>
      <c r="O426" s="1">
        <f>MAX(MIN((Table1[[#This Row],[taxable wages]]-3000)*0.15,1000*num_kids_16_younger),0)</f>
        <v>5000</v>
      </c>
      <c r="P426" s="9">
        <f>IF(Table1[[#This Row],[Effective Child Tax Credit]]&gt;Table1[[#This Row],[Regular Taxes Owed]],Table1[[#This Row],[Additional Child Tax Credit ]]-Table1[[#This Row],[Regular Taxes Owed]],0)</f>
        <v>0</v>
      </c>
      <c r="Q4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6" s="1">
        <f>Table1[[#This Row],[Effective Additional Child Tax Credit]]+Table1[[#This Row],[Eitc]]</f>
        <v>0</v>
      </c>
      <c r="S426" s="9">
        <f>Table1[[#This Row],[Regular Taxes Owed - Effective Child Tax Credit]]-Table1[[#This Row],[Total Credits]]</f>
        <v>29204.5</v>
      </c>
      <c r="T426" s="9">
        <f>Table1[[#This Row],[taxable wages]]+interest+dividends+short_term_capital_gains+long_term_capital_gains-(charitable_donations+mortgage_interest)</f>
        <v>194500</v>
      </c>
      <c r="U426" s="9">
        <f>MAX(amt_exemption-amt_exemption_phase_out_rate*MAX(Table1[[#This Row],[taxable wages]]-amt_phase_out_begins,0),0)</f>
        <v>75100</v>
      </c>
      <c r="V4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31044</v>
      </c>
      <c r="W426" s="1">
        <f>IF(AND(Table1[[#This Row],[AMT Taxes]]&gt;Table1[[#This Row],[Regular Taxes Owed]],Table1[[#This Row],[AMT Taxes]]&gt;0),Table1[[#This Row],[AMT Taxes]]-Table1[[#This Row],[Regular Taxes Owed]],0)</f>
        <v>1064.5</v>
      </c>
      <c r="X426" s="9">
        <f>Table1[[#This Row],[Extra Taxes From Amt]]+Table1[[#This Row],[Federal Taxes Owed (No AMT)]]</f>
        <v>30269</v>
      </c>
      <c r="Y426" s="9">
        <f>IF(Table1[[#This Row],[taxable wages]]&gt;obamacare_surcharge_amount,obamacare_surcharge_percent*(Table1[[#This Row],[taxable wages]]-obamacare_surcharge_amount),0)</f>
        <v>0</v>
      </c>
      <c r="Z426" s="9">
        <f>Table1[[#This Row],[Federal Taxes Owed (Includes AMT)]]+Table1[[#This Row],[Obamacare surcharge premium]]</f>
        <v>30269</v>
      </c>
      <c r="AA426" s="9">
        <f>Table1[[#This Row],[taxable wages]]-Table1[[#This Row],[Federal Taxes Owed2]]</f>
        <v>164231</v>
      </c>
      <c r="AB426" s="51">
        <f t="shared" si="41"/>
        <v>0.375</v>
      </c>
      <c r="AC426" s="41"/>
      <c r="AD426" s="13"/>
      <c r="AE426" s="13"/>
    </row>
    <row r="427" spans="2:31" x14ac:dyDescent="0.3">
      <c r="B427" s="41">
        <f t="shared" si="42"/>
        <v>195000</v>
      </c>
      <c r="C427" s="1">
        <f>Table1[[#This Row],[taxable wages]]</f>
        <v>195000</v>
      </c>
      <c r="D427" s="1">
        <f>Table1[[#This Row],[taxable wages]]+interest+dividends+short_term_capital_gains+long_term_capital_gains</f>
        <v>195000</v>
      </c>
      <c r="E427" s="1">
        <f>MAX(Table1[[#This Row],[earned income for EITC]:[Agi For Eitc Calc]])</f>
        <v>195000</v>
      </c>
      <c r="F427" s="1">
        <f>Table1[[#This Row],[taxable wages]]+interest+dividends+short_term_capital_gains+long_term_capital_gains-(trad_ira_contributions+MIN(student_loan_interest_cap,student_loan_interest))</f>
        <v>195000</v>
      </c>
      <c r="G427" s="1">
        <f t="shared" si="38"/>
        <v>12600</v>
      </c>
      <c r="H427" s="1">
        <f t="shared" si="39"/>
        <v>28350</v>
      </c>
      <c r="I427" s="1">
        <f>MAX(0,Table1[[#This Row],[Agi]]-Table1[[#This Row],[Exemptions]]-Table1[[#This Row],[Effective Deductions]])</f>
        <v>154050</v>
      </c>
      <c r="J4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30119.5</v>
      </c>
      <c r="K427" s="1">
        <f t="shared" si="40"/>
        <v>5000</v>
      </c>
      <c r="L427" s="1">
        <f>IF(Table1[[#This Row],[Agi]]&gt;ctc_phase_out_begins,ctc_phase_out_rate*(Table1[[#This Row],[Agi]]-ctc_phase_out_begins),0)</f>
        <v>4250</v>
      </c>
      <c r="M427" s="1">
        <f>MAX(Table1[[#This Row],[Child Tax Credit]]-Table1[[#This Row],[Child Tax Credit Phase Out]],0)</f>
        <v>750</v>
      </c>
      <c r="N427" s="1">
        <f>MAX(Table1[[#This Row],[Regular Taxes Owed]]-Table1[[#This Row],[Effective Child Tax Credit]],0)</f>
        <v>29369.5</v>
      </c>
      <c r="O427" s="1">
        <f>MAX(MIN((Table1[[#This Row],[taxable wages]]-3000)*0.15,1000*num_kids_16_younger),0)</f>
        <v>5000</v>
      </c>
      <c r="P427" s="9">
        <f>IF(Table1[[#This Row],[Effective Child Tax Credit]]&gt;Table1[[#This Row],[Regular Taxes Owed]],Table1[[#This Row],[Additional Child Tax Credit ]]-Table1[[#This Row],[Regular Taxes Owed]],0)</f>
        <v>0</v>
      </c>
      <c r="Q4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7" s="1">
        <f>Table1[[#This Row],[Effective Additional Child Tax Credit]]+Table1[[#This Row],[Eitc]]</f>
        <v>0</v>
      </c>
      <c r="S427" s="9">
        <f>Table1[[#This Row],[Regular Taxes Owed - Effective Child Tax Credit]]-Table1[[#This Row],[Total Credits]]</f>
        <v>29369.5</v>
      </c>
      <c r="T427" s="9">
        <f>Table1[[#This Row],[taxable wages]]+interest+dividends+short_term_capital_gains+long_term_capital_gains-(charitable_donations+mortgage_interest)</f>
        <v>195000</v>
      </c>
      <c r="U427" s="9">
        <f>MAX(amt_exemption-amt_exemption_phase_out_rate*MAX(Table1[[#This Row],[taxable wages]]-amt_phase_out_begins,0),0)</f>
        <v>74975</v>
      </c>
      <c r="V4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31206.5</v>
      </c>
      <c r="W427" s="1">
        <f>IF(AND(Table1[[#This Row],[AMT Taxes]]&gt;Table1[[#This Row],[Regular Taxes Owed]],Table1[[#This Row],[AMT Taxes]]&gt;0),Table1[[#This Row],[AMT Taxes]]-Table1[[#This Row],[Regular Taxes Owed]],0)</f>
        <v>1087</v>
      </c>
      <c r="X427" s="9">
        <f>Table1[[#This Row],[Extra Taxes From Amt]]+Table1[[#This Row],[Federal Taxes Owed (No AMT)]]</f>
        <v>30456.5</v>
      </c>
      <c r="Y427" s="9">
        <f>IF(Table1[[#This Row],[taxable wages]]&gt;obamacare_surcharge_amount,obamacare_surcharge_percent*(Table1[[#This Row],[taxable wages]]-obamacare_surcharge_amount),0)</f>
        <v>0</v>
      </c>
      <c r="Z427" s="9">
        <f>Table1[[#This Row],[Federal Taxes Owed (Includes AMT)]]+Table1[[#This Row],[Obamacare surcharge premium]]</f>
        <v>30456.5</v>
      </c>
      <c r="AA427" s="9">
        <f>Table1[[#This Row],[taxable wages]]-Table1[[#This Row],[Federal Taxes Owed2]]</f>
        <v>164543.5</v>
      </c>
      <c r="AB427" s="51">
        <f t="shared" si="41"/>
        <v>0.375</v>
      </c>
      <c r="AC427" s="41"/>
      <c r="AD427" s="13"/>
      <c r="AE427" s="13"/>
    </row>
    <row r="428" spans="2:31" x14ac:dyDescent="0.3">
      <c r="B428" s="41">
        <f t="shared" si="42"/>
        <v>195500</v>
      </c>
      <c r="C428" s="1">
        <f>Table1[[#This Row],[taxable wages]]</f>
        <v>195500</v>
      </c>
      <c r="D428" s="1">
        <f>Table1[[#This Row],[taxable wages]]+interest+dividends+short_term_capital_gains+long_term_capital_gains</f>
        <v>195500</v>
      </c>
      <c r="E428" s="1">
        <f>MAX(Table1[[#This Row],[earned income for EITC]:[Agi For Eitc Calc]])</f>
        <v>195500</v>
      </c>
      <c r="F428" s="1">
        <f>Table1[[#This Row],[taxable wages]]+interest+dividends+short_term_capital_gains+long_term_capital_gains-(trad_ira_contributions+MIN(student_loan_interest_cap,student_loan_interest))</f>
        <v>195500</v>
      </c>
      <c r="G428" s="1">
        <f t="shared" si="38"/>
        <v>12600</v>
      </c>
      <c r="H428" s="1">
        <f t="shared" si="39"/>
        <v>28350</v>
      </c>
      <c r="I428" s="1">
        <f>MAX(0,Table1[[#This Row],[Agi]]-Table1[[#This Row],[Exemptions]]-Table1[[#This Row],[Effective Deductions]])</f>
        <v>154550</v>
      </c>
      <c r="J4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30259.5</v>
      </c>
      <c r="K428" s="1">
        <f t="shared" si="40"/>
        <v>5000</v>
      </c>
      <c r="L428" s="1">
        <f>IF(Table1[[#This Row],[Agi]]&gt;ctc_phase_out_begins,ctc_phase_out_rate*(Table1[[#This Row],[Agi]]-ctc_phase_out_begins),0)</f>
        <v>4275</v>
      </c>
      <c r="M428" s="1">
        <f>MAX(Table1[[#This Row],[Child Tax Credit]]-Table1[[#This Row],[Child Tax Credit Phase Out]],0)</f>
        <v>725</v>
      </c>
      <c r="N428" s="1">
        <f>MAX(Table1[[#This Row],[Regular Taxes Owed]]-Table1[[#This Row],[Effective Child Tax Credit]],0)</f>
        <v>29534.5</v>
      </c>
      <c r="O428" s="1">
        <f>MAX(MIN((Table1[[#This Row],[taxable wages]]-3000)*0.15,1000*num_kids_16_younger),0)</f>
        <v>5000</v>
      </c>
      <c r="P428" s="9">
        <f>IF(Table1[[#This Row],[Effective Child Tax Credit]]&gt;Table1[[#This Row],[Regular Taxes Owed]],Table1[[#This Row],[Additional Child Tax Credit ]]-Table1[[#This Row],[Regular Taxes Owed]],0)</f>
        <v>0</v>
      </c>
      <c r="Q4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8" s="1">
        <f>Table1[[#This Row],[Effective Additional Child Tax Credit]]+Table1[[#This Row],[Eitc]]</f>
        <v>0</v>
      </c>
      <c r="S428" s="9">
        <f>Table1[[#This Row],[Regular Taxes Owed - Effective Child Tax Credit]]-Table1[[#This Row],[Total Credits]]</f>
        <v>29534.5</v>
      </c>
      <c r="T428" s="9">
        <f>Table1[[#This Row],[taxable wages]]+interest+dividends+short_term_capital_gains+long_term_capital_gains-(charitable_donations+mortgage_interest)</f>
        <v>195500</v>
      </c>
      <c r="U428" s="9">
        <f>MAX(amt_exemption-amt_exemption_phase_out_rate*MAX(Table1[[#This Row],[taxable wages]]-amt_phase_out_begins,0),0)</f>
        <v>74850</v>
      </c>
      <c r="V4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31369</v>
      </c>
      <c r="W428" s="1">
        <f>IF(AND(Table1[[#This Row],[AMT Taxes]]&gt;Table1[[#This Row],[Regular Taxes Owed]],Table1[[#This Row],[AMT Taxes]]&gt;0),Table1[[#This Row],[AMT Taxes]]-Table1[[#This Row],[Regular Taxes Owed]],0)</f>
        <v>1109.5</v>
      </c>
      <c r="X428" s="9">
        <f>Table1[[#This Row],[Extra Taxes From Amt]]+Table1[[#This Row],[Federal Taxes Owed (No AMT)]]</f>
        <v>30644</v>
      </c>
      <c r="Y428" s="9">
        <f>IF(Table1[[#This Row],[taxable wages]]&gt;obamacare_surcharge_amount,obamacare_surcharge_percent*(Table1[[#This Row],[taxable wages]]-obamacare_surcharge_amount),0)</f>
        <v>0</v>
      </c>
      <c r="Z428" s="9">
        <f>Table1[[#This Row],[Federal Taxes Owed (Includes AMT)]]+Table1[[#This Row],[Obamacare surcharge premium]]</f>
        <v>30644</v>
      </c>
      <c r="AA428" s="9">
        <f>Table1[[#This Row],[taxable wages]]-Table1[[#This Row],[Federal Taxes Owed2]]</f>
        <v>164856</v>
      </c>
      <c r="AB428" s="51">
        <f t="shared" si="41"/>
        <v>0.375</v>
      </c>
      <c r="AC428" s="41"/>
      <c r="AD428" s="13"/>
      <c r="AE428" s="13"/>
    </row>
    <row r="429" spans="2:31" x14ac:dyDescent="0.3">
      <c r="B429" s="41">
        <f t="shared" si="42"/>
        <v>196000</v>
      </c>
      <c r="C429" s="1">
        <f>Table1[[#This Row],[taxable wages]]</f>
        <v>196000</v>
      </c>
      <c r="D429" s="1">
        <f>Table1[[#This Row],[taxable wages]]+interest+dividends+short_term_capital_gains+long_term_capital_gains</f>
        <v>196000</v>
      </c>
      <c r="E429" s="1">
        <f>MAX(Table1[[#This Row],[earned income for EITC]:[Agi For Eitc Calc]])</f>
        <v>196000</v>
      </c>
      <c r="F429" s="1">
        <f>Table1[[#This Row],[taxable wages]]+interest+dividends+short_term_capital_gains+long_term_capital_gains-(trad_ira_contributions+MIN(student_loan_interest_cap,student_loan_interest))</f>
        <v>196000</v>
      </c>
      <c r="G429" s="1">
        <f t="shared" si="38"/>
        <v>12600</v>
      </c>
      <c r="H429" s="1">
        <f t="shared" si="39"/>
        <v>28350</v>
      </c>
      <c r="I429" s="1">
        <f>MAX(0,Table1[[#This Row],[Agi]]-Table1[[#This Row],[Exemptions]]-Table1[[#This Row],[Effective Deductions]])</f>
        <v>155050</v>
      </c>
      <c r="J4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30399.5</v>
      </c>
      <c r="K429" s="1">
        <f t="shared" si="40"/>
        <v>5000</v>
      </c>
      <c r="L429" s="1">
        <f>IF(Table1[[#This Row],[Agi]]&gt;ctc_phase_out_begins,ctc_phase_out_rate*(Table1[[#This Row],[Agi]]-ctc_phase_out_begins),0)</f>
        <v>4300</v>
      </c>
      <c r="M429" s="1">
        <f>MAX(Table1[[#This Row],[Child Tax Credit]]-Table1[[#This Row],[Child Tax Credit Phase Out]],0)</f>
        <v>700</v>
      </c>
      <c r="N429" s="1">
        <f>MAX(Table1[[#This Row],[Regular Taxes Owed]]-Table1[[#This Row],[Effective Child Tax Credit]],0)</f>
        <v>29699.5</v>
      </c>
      <c r="O429" s="1">
        <f>MAX(MIN((Table1[[#This Row],[taxable wages]]-3000)*0.15,1000*num_kids_16_younger),0)</f>
        <v>5000</v>
      </c>
      <c r="P429" s="9">
        <f>IF(Table1[[#This Row],[Effective Child Tax Credit]]&gt;Table1[[#This Row],[Regular Taxes Owed]],Table1[[#This Row],[Additional Child Tax Credit ]]-Table1[[#This Row],[Regular Taxes Owed]],0)</f>
        <v>0</v>
      </c>
      <c r="Q4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29" s="1">
        <f>Table1[[#This Row],[Effective Additional Child Tax Credit]]+Table1[[#This Row],[Eitc]]</f>
        <v>0</v>
      </c>
      <c r="S429" s="9">
        <f>Table1[[#This Row],[Regular Taxes Owed - Effective Child Tax Credit]]-Table1[[#This Row],[Total Credits]]</f>
        <v>29699.5</v>
      </c>
      <c r="T429" s="9">
        <f>Table1[[#This Row],[taxable wages]]+interest+dividends+short_term_capital_gains+long_term_capital_gains-(charitable_donations+mortgage_interest)</f>
        <v>196000</v>
      </c>
      <c r="U429" s="9">
        <f>MAX(amt_exemption-amt_exemption_phase_out_rate*MAX(Table1[[#This Row],[taxable wages]]-amt_phase_out_begins,0),0)</f>
        <v>74725</v>
      </c>
      <c r="V4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31531.5</v>
      </c>
      <c r="W429" s="1">
        <f>IF(AND(Table1[[#This Row],[AMT Taxes]]&gt;Table1[[#This Row],[Regular Taxes Owed]],Table1[[#This Row],[AMT Taxes]]&gt;0),Table1[[#This Row],[AMT Taxes]]-Table1[[#This Row],[Regular Taxes Owed]],0)</f>
        <v>1132</v>
      </c>
      <c r="X429" s="9">
        <f>Table1[[#This Row],[Extra Taxes From Amt]]+Table1[[#This Row],[Federal Taxes Owed (No AMT)]]</f>
        <v>30831.5</v>
      </c>
      <c r="Y429" s="9">
        <f>IF(Table1[[#This Row],[taxable wages]]&gt;obamacare_surcharge_amount,obamacare_surcharge_percent*(Table1[[#This Row],[taxable wages]]-obamacare_surcharge_amount),0)</f>
        <v>0</v>
      </c>
      <c r="Z429" s="9">
        <f>Table1[[#This Row],[Federal Taxes Owed (Includes AMT)]]+Table1[[#This Row],[Obamacare surcharge premium]]</f>
        <v>30831.5</v>
      </c>
      <c r="AA429" s="9">
        <f>Table1[[#This Row],[taxable wages]]-Table1[[#This Row],[Federal Taxes Owed2]]</f>
        <v>165168.5</v>
      </c>
      <c r="AB429" s="51">
        <f t="shared" si="41"/>
        <v>0.375</v>
      </c>
      <c r="AC429" s="41"/>
      <c r="AD429" s="13"/>
      <c r="AE429" s="13"/>
    </row>
    <row r="430" spans="2:31" x14ac:dyDescent="0.3">
      <c r="B430" s="41">
        <f t="shared" si="42"/>
        <v>196500</v>
      </c>
      <c r="C430" s="1">
        <f>Table1[[#This Row],[taxable wages]]</f>
        <v>196500</v>
      </c>
      <c r="D430" s="1">
        <f>Table1[[#This Row],[taxable wages]]+interest+dividends+short_term_capital_gains+long_term_capital_gains</f>
        <v>196500</v>
      </c>
      <c r="E430" s="1">
        <f>MAX(Table1[[#This Row],[earned income for EITC]:[Agi For Eitc Calc]])</f>
        <v>196500</v>
      </c>
      <c r="F430" s="1">
        <f>Table1[[#This Row],[taxable wages]]+interest+dividends+short_term_capital_gains+long_term_capital_gains-(trad_ira_contributions+MIN(student_loan_interest_cap,student_loan_interest))</f>
        <v>196500</v>
      </c>
      <c r="G430" s="1">
        <f t="shared" si="38"/>
        <v>12600</v>
      </c>
      <c r="H430" s="1">
        <f t="shared" si="39"/>
        <v>28350</v>
      </c>
      <c r="I430" s="1">
        <f>MAX(0,Table1[[#This Row],[Agi]]-Table1[[#This Row],[Exemptions]]-Table1[[#This Row],[Effective Deductions]])</f>
        <v>155550</v>
      </c>
      <c r="J4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30539.5</v>
      </c>
      <c r="K430" s="1">
        <f t="shared" si="40"/>
        <v>5000</v>
      </c>
      <c r="L430" s="1">
        <f>IF(Table1[[#This Row],[Agi]]&gt;ctc_phase_out_begins,ctc_phase_out_rate*(Table1[[#This Row],[Agi]]-ctc_phase_out_begins),0)</f>
        <v>4325</v>
      </c>
      <c r="M430" s="1">
        <f>MAX(Table1[[#This Row],[Child Tax Credit]]-Table1[[#This Row],[Child Tax Credit Phase Out]],0)</f>
        <v>675</v>
      </c>
      <c r="N430" s="1">
        <f>MAX(Table1[[#This Row],[Regular Taxes Owed]]-Table1[[#This Row],[Effective Child Tax Credit]],0)</f>
        <v>29864.5</v>
      </c>
      <c r="O430" s="1">
        <f>MAX(MIN((Table1[[#This Row],[taxable wages]]-3000)*0.15,1000*num_kids_16_younger),0)</f>
        <v>5000</v>
      </c>
      <c r="P430" s="9">
        <f>IF(Table1[[#This Row],[Effective Child Tax Credit]]&gt;Table1[[#This Row],[Regular Taxes Owed]],Table1[[#This Row],[Additional Child Tax Credit ]]-Table1[[#This Row],[Regular Taxes Owed]],0)</f>
        <v>0</v>
      </c>
      <c r="Q4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0" s="1">
        <f>Table1[[#This Row],[Effective Additional Child Tax Credit]]+Table1[[#This Row],[Eitc]]</f>
        <v>0</v>
      </c>
      <c r="S430" s="9">
        <f>Table1[[#This Row],[Regular Taxes Owed - Effective Child Tax Credit]]-Table1[[#This Row],[Total Credits]]</f>
        <v>29864.5</v>
      </c>
      <c r="T430" s="9">
        <f>Table1[[#This Row],[taxable wages]]+interest+dividends+short_term_capital_gains+long_term_capital_gains-(charitable_donations+mortgage_interest)</f>
        <v>196500</v>
      </c>
      <c r="U430" s="9">
        <f>MAX(amt_exemption-amt_exemption_phase_out_rate*MAX(Table1[[#This Row],[taxable wages]]-amt_phase_out_begins,0),0)</f>
        <v>74600</v>
      </c>
      <c r="V4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31694</v>
      </c>
      <c r="W430" s="1">
        <f>IF(AND(Table1[[#This Row],[AMT Taxes]]&gt;Table1[[#This Row],[Regular Taxes Owed]],Table1[[#This Row],[AMT Taxes]]&gt;0),Table1[[#This Row],[AMT Taxes]]-Table1[[#This Row],[Regular Taxes Owed]],0)</f>
        <v>1154.5</v>
      </c>
      <c r="X430" s="9">
        <f>Table1[[#This Row],[Extra Taxes From Amt]]+Table1[[#This Row],[Federal Taxes Owed (No AMT)]]</f>
        <v>31019</v>
      </c>
      <c r="Y430" s="9">
        <f>IF(Table1[[#This Row],[taxable wages]]&gt;obamacare_surcharge_amount,obamacare_surcharge_percent*(Table1[[#This Row],[taxable wages]]-obamacare_surcharge_amount),0)</f>
        <v>0</v>
      </c>
      <c r="Z430" s="9">
        <f>Table1[[#This Row],[Federal Taxes Owed (Includes AMT)]]+Table1[[#This Row],[Obamacare surcharge premium]]</f>
        <v>31019</v>
      </c>
      <c r="AA430" s="9">
        <f>Table1[[#This Row],[taxable wages]]-Table1[[#This Row],[Federal Taxes Owed2]]</f>
        <v>165481</v>
      </c>
      <c r="AB430" s="51">
        <f t="shared" si="41"/>
        <v>0.375</v>
      </c>
      <c r="AC430" s="41"/>
      <c r="AD430" s="13"/>
      <c r="AE430" s="13"/>
    </row>
    <row r="431" spans="2:31" x14ac:dyDescent="0.3">
      <c r="B431" s="41">
        <f t="shared" si="42"/>
        <v>197000</v>
      </c>
      <c r="C431" s="1">
        <f>Table1[[#This Row],[taxable wages]]</f>
        <v>197000</v>
      </c>
      <c r="D431" s="1">
        <f>Table1[[#This Row],[taxable wages]]+interest+dividends+short_term_capital_gains+long_term_capital_gains</f>
        <v>197000</v>
      </c>
      <c r="E431" s="1">
        <f>MAX(Table1[[#This Row],[earned income for EITC]:[Agi For Eitc Calc]])</f>
        <v>197000</v>
      </c>
      <c r="F431" s="1">
        <f>Table1[[#This Row],[taxable wages]]+interest+dividends+short_term_capital_gains+long_term_capital_gains-(trad_ira_contributions+MIN(student_loan_interest_cap,student_loan_interest))</f>
        <v>197000</v>
      </c>
      <c r="G431" s="1">
        <f t="shared" si="38"/>
        <v>12600</v>
      </c>
      <c r="H431" s="1">
        <f t="shared" si="39"/>
        <v>28350</v>
      </c>
      <c r="I431" s="1">
        <f>MAX(0,Table1[[#This Row],[Agi]]-Table1[[#This Row],[Exemptions]]-Table1[[#This Row],[Effective Deductions]])</f>
        <v>156050</v>
      </c>
      <c r="J4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30679.5</v>
      </c>
      <c r="K431" s="1">
        <f t="shared" si="40"/>
        <v>5000</v>
      </c>
      <c r="L431" s="1">
        <f>IF(Table1[[#This Row],[Agi]]&gt;ctc_phase_out_begins,ctc_phase_out_rate*(Table1[[#This Row],[Agi]]-ctc_phase_out_begins),0)</f>
        <v>4350</v>
      </c>
      <c r="M431" s="1">
        <f>MAX(Table1[[#This Row],[Child Tax Credit]]-Table1[[#This Row],[Child Tax Credit Phase Out]],0)</f>
        <v>650</v>
      </c>
      <c r="N431" s="1">
        <f>MAX(Table1[[#This Row],[Regular Taxes Owed]]-Table1[[#This Row],[Effective Child Tax Credit]],0)</f>
        <v>30029.5</v>
      </c>
      <c r="O431" s="1">
        <f>MAX(MIN((Table1[[#This Row],[taxable wages]]-3000)*0.15,1000*num_kids_16_younger),0)</f>
        <v>5000</v>
      </c>
      <c r="P431" s="9">
        <f>IF(Table1[[#This Row],[Effective Child Tax Credit]]&gt;Table1[[#This Row],[Regular Taxes Owed]],Table1[[#This Row],[Additional Child Tax Credit ]]-Table1[[#This Row],[Regular Taxes Owed]],0)</f>
        <v>0</v>
      </c>
      <c r="Q4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1" s="1">
        <f>Table1[[#This Row],[Effective Additional Child Tax Credit]]+Table1[[#This Row],[Eitc]]</f>
        <v>0</v>
      </c>
      <c r="S431" s="9">
        <f>Table1[[#This Row],[Regular Taxes Owed - Effective Child Tax Credit]]-Table1[[#This Row],[Total Credits]]</f>
        <v>30029.5</v>
      </c>
      <c r="T431" s="9">
        <f>Table1[[#This Row],[taxable wages]]+interest+dividends+short_term_capital_gains+long_term_capital_gains-(charitable_donations+mortgage_interest)</f>
        <v>197000</v>
      </c>
      <c r="U431" s="9">
        <f>MAX(amt_exemption-amt_exemption_phase_out_rate*MAX(Table1[[#This Row],[taxable wages]]-amt_phase_out_begins,0),0)</f>
        <v>74475</v>
      </c>
      <c r="V4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31856.5</v>
      </c>
      <c r="W431" s="1">
        <f>IF(AND(Table1[[#This Row],[AMT Taxes]]&gt;Table1[[#This Row],[Regular Taxes Owed]],Table1[[#This Row],[AMT Taxes]]&gt;0),Table1[[#This Row],[AMT Taxes]]-Table1[[#This Row],[Regular Taxes Owed]],0)</f>
        <v>1177</v>
      </c>
      <c r="X431" s="9">
        <f>Table1[[#This Row],[Extra Taxes From Amt]]+Table1[[#This Row],[Federal Taxes Owed (No AMT)]]</f>
        <v>31206.5</v>
      </c>
      <c r="Y431" s="9">
        <f>IF(Table1[[#This Row],[taxable wages]]&gt;obamacare_surcharge_amount,obamacare_surcharge_percent*(Table1[[#This Row],[taxable wages]]-obamacare_surcharge_amount),0)</f>
        <v>0</v>
      </c>
      <c r="Z431" s="9">
        <f>Table1[[#This Row],[Federal Taxes Owed (Includes AMT)]]+Table1[[#This Row],[Obamacare surcharge premium]]</f>
        <v>31206.5</v>
      </c>
      <c r="AA431" s="9">
        <f>Table1[[#This Row],[taxable wages]]-Table1[[#This Row],[Federal Taxes Owed2]]</f>
        <v>165793.5</v>
      </c>
      <c r="AB431" s="51">
        <f t="shared" si="41"/>
        <v>0.375</v>
      </c>
      <c r="AC431" s="41"/>
      <c r="AD431" s="13"/>
      <c r="AE431" s="13"/>
    </row>
    <row r="432" spans="2:31" x14ac:dyDescent="0.3">
      <c r="B432" s="41">
        <f t="shared" si="42"/>
        <v>197500</v>
      </c>
      <c r="C432" s="1">
        <f>Table1[[#This Row],[taxable wages]]</f>
        <v>197500</v>
      </c>
      <c r="D432" s="1">
        <f>Table1[[#This Row],[taxable wages]]+interest+dividends+short_term_capital_gains+long_term_capital_gains</f>
        <v>197500</v>
      </c>
      <c r="E432" s="1">
        <f>MAX(Table1[[#This Row],[earned income for EITC]:[Agi For Eitc Calc]])</f>
        <v>197500</v>
      </c>
      <c r="F432" s="1">
        <f>Table1[[#This Row],[taxable wages]]+interest+dividends+short_term_capital_gains+long_term_capital_gains-(trad_ira_contributions+MIN(student_loan_interest_cap,student_loan_interest))</f>
        <v>197500</v>
      </c>
      <c r="G432" s="1">
        <f t="shared" si="38"/>
        <v>12600</v>
      </c>
      <c r="H432" s="1">
        <f t="shared" si="39"/>
        <v>28350</v>
      </c>
      <c r="I432" s="1">
        <f>MAX(0,Table1[[#This Row],[Agi]]-Table1[[#This Row],[Exemptions]]-Table1[[#This Row],[Effective Deductions]])</f>
        <v>156550</v>
      </c>
      <c r="J4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30819.5</v>
      </c>
      <c r="K432" s="1">
        <f t="shared" si="40"/>
        <v>5000</v>
      </c>
      <c r="L432" s="1">
        <f>IF(Table1[[#This Row],[Agi]]&gt;ctc_phase_out_begins,ctc_phase_out_rate*(Table1[[#This Row],[Agi]]-ctc_phase_out_begins),0)</f>
        <v>4375</v>
      </c>
      <c r="M432" s="1">
        <f>MAX(Table1[[#This Row],[Child Tax Credit]]-Table1[[#This Row],[Child Tax Credit Phase Out]],0)</f>
        <v>625</v>
      </c>
      <c r="N432" s="1">
        <f>MAX(Table1[[#This Row],[Regular Taxes Owed]]-Table1[[#This Row],[Effective Child Tax Credit]],0)</f>
        <v>30194.5</v>
      </c>
      <c r="O432" s="1">
        <f>MAX(MIN((Table1[[#This Row],[taxable wages]]-3000)*0.15,1000*num_kids_16_younger),0)</f>
        <v>5000</v>
      </c>
      <c r="P432" s="9">
        <f>IF(Table1[[#This Row],[Effective Child Tax Credit]]&gt;Table1[[#This Row],[Regular Taxes Owed]],Table1[[#This Row],[Additional Child Tax Credit ]]-Table1[[#This Row],[Regular Taxes Owed]],0)</f>
        <v>0</v>
      </c>
      <c r="Q4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2" s="1">
        <f>Table1[[#This Row],[Effective Additional Child Tax Credit]]+Table1[[#This Row],[Eitc]]</f>
        <v>0</v>
      </c>
      <c r="S432" s="9">
        <f>Table1[[#This Row],[Regular Taxes Owed - Effective Child Tax Credit]]-Table1[[#This Row],[Total Credits]]</f>
        <v>30194.5</v>
      </c>
      <c r="T432" s="9">
        <f>Table1[[#This Row],[taxable wages]]+interest+dividends+short_term_capital_gains+long_term_capital_gains-(charitable_donations+mortgage_interest)</f>
        <v>197500</v>
      </c>
      <c r="U432" s="9">
        <f>MAX(amt_exemption-amt_exemption_phase_out_rate*MAX(Table1[[#This Row],[taxable wages]]-amt_phase_out_begins,0),0)</f>
        <v>74350</v>
      </c>
      <c r="V4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32019</v>
      </c>
      <c r="W432" s="1">
        <f>IF(AND(Table1[[#This Row],[AMT Taxes]]&gt;Table1[[#This Row],[Regular Taxes Owed]],Table1[[#This Row],[AMT Taxes]]&gt;0),Table1[[#This Row],[AMT Taxes]]-Table1[[#This Row],[Regular Taxes Owed]],0)</f>
        <v>1199.5</v>
      </c>
      <c r="X432" s="9">
        <f>Table1[[#This Row],[Extra Taxes From Amt]]+Table1[[#This Row],[Federal Taxes Owed (No AMT)]]</f>
        <v>31394</v>
      </c>
      <c r="Y432" s="9">
        <f>IF(Table1[[#This Row],[taxable wages]]&gt;obamacare_surcharge_amount,obamacare_surcharge_percent*(Table1[[#This Row],[taxable wages]]-obamacare_surcharge_amount),0)</f>
        <v>0</v>
      </c>
      <c r="Z432" s="9">
        <f>Table1[[#This Row],[Federal Taxes Owed (Includes AMT)]]+Table1[[#This Row],[Obamacare surcharge premium]]</f>
        <v>31394</v>
      </c>
      <c r="AA432" s="9">
        <f>Table1[[#This Row],[taxable wages]]-Table1[[#This Row],[Federal Taxes Owed2]]</f>
        <v>166106</v>
      </c>
      <c r="AB432" s="51">
        <f t="shared" si="41"/>
        <v>0.375</v>
      </c>
      <c r="AC432" s="41"/>
      <c r="AD432" s="13"/>
      <c r="AE432" s="13"/>
    </row>
    <row r="433" spans="2:31" x14ac:dyDescent="0.3">
      <c r="B433" s="41">
        <f t="shared" si="42"/>
        <v>198000</v>
      </c>
      <c r="C433" s="1">
        <f>Table1[[#This Row],[taxable wages]]</f>
        <v>198000</v>
      </c>
      <c r="D433" s="1">
        <f>Table1[[#This Row],[taxable wages]]+interest+dividends+short_term_capital_gains+long_term_capital_gains</f>
        <v>198000</v>
      </c>
      <c r="E433" s="1">
        <f>MAX(Table1[[#This Row],[earned income for EITC]:[Agi For Eitc Calc]])</f>
        <v>198000</v>
      </c>
      <c r="F433" s="1">
        <f>Table1[[#This Row],[taxable wages]]+interest+dividends+short_term_capital_gains+long_term_capital_gains-(trad_ira_contributions+MIN(student_loan_interest_cap,student_loan_interest))</f>
        <v>198000</v>
      </c>
      <c r="G433" s="1">
        <f t="shared" si="38"/>
        <v>12600</v>
      </c>
      <c r="H433" s="1">
        <f t="shared" si="39"/>
        <v>28350</v>
      </c>
      <c r="I433" s="1">
        <f>MAX(0,Table1[[#This Row],[Agi]]-Table1[[#This Row],[Exemptions]]-Table1[[#This Row],[Effective Deductions]])</f>
        <v>157050</v>
      </c>
      <c r="J4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30959.5</v>
      </c>
      <c r="K433" s="1">
        <f t="shared" si="40"/>
        <v>5000</v>
      </c>
      <c r="L433" s="1">
        <f>IF(Table1[[#This Row],[Agi]]&gt;ctc_phase_out_begins,ctc_phase_out_rate*(Table1[[#This Row],[Agi]]-ctc_phase_out_begins),0)</f>
        <v>4400</v>
      </c>
      <c r="M433" s="1">
        <f>MAX(Table1[[#This Row],[Child Tax Credit]]-Table1[[#This Row],[Child Tax Credit Phase Out]],0)</f>
        <v>600</v>
      </c>
      <c r="N433" s="1">
        <f>MAX(Table1[[#This Row],[Regular Taxes Owed]]-Table1[[#This Row],[Effective Child Tax Credit]],0)</f>
        <v>30359.5</v>
      </c>
      <c r="O433" s="1">
        <f>MAX(MIN((Table1[[#This Row],[taxable wages]]-3000)*0.15,1000*num_kids_16_younger),0)</f>
        <v>5000</v>
      </c>
      <c r="P433" s="9">
        <f>IF(Table1[[#This Row],[Effective Child Tax Credit]]&gt;Table1[[#This Row],[Regular Taxes Owed]],Table1[[#This Row],[Additional Child Tax Credit ]]-Table1[[#This Row],[Regular Taxes Owed]],0)</f>
        <v>0</v>
      </c>
      <c r="Q4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3" s="1">
        <f>Table1[[#This Row],[Effective Additional Child Tax Credit]]+Table1[[#This Row],[Eitc]]</f>
        <v>0</v>
      </c>
      <c r="S433" s="9">
        <f>Table1[[#This Row],[Regular Taxes Owed - Effective Child Tax Credit]]-Table1[[#This Row],[Total Credits]]</f>
        <v>30359.5</v>
      </c>
      <c r="T433" s="9">
        <f>Table1[[#This Row],[taxable wages]]+interest+dividends+short_term_capital_gains+long_term_capital_gains-(charitable_donations+mortgage_interest)</f>
        <v>198000</v>
      </c>
      <c r="U433" s="9">
        <f>MAX(amt_exemption-amt_exemption_phase_out_rate*MAX(Table1[[#This Row],[taxable wages]]-amt_phase_out_begins,0),0)</f>
        <v>74225</v>
      </c>
      <c r="V4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32181.5</v>
      </c>
      <c r="W433" s="1">
        <f>IF(AND(Table1[[#This Row],[AMT Taxes]]&gt;Table1[[#This Row],[Regular Taxes Owed]],Table1[[#This Row],[AMT Taxes]]&gt;0),Table1[[#This Row],[AMT Taxes]]-Table1[[#This Row],[Regular Taxes Owed]],0)</f>
        <v>1222</v>
      </c>
      <c r="X433" s="9">
        <f>Table1[[#This Row],[Extra Taxes From Amt]]+Table1[[#This Row],[Federal Taxes Owed (No AMT)]]</f>
        <v>31581.5</v>
      </c>
      <c r="Y433" s="9">
        <f>IF(Table1[[#This Row],[taxable wages]]&gt;obamacare_surcharge_amount,obamacare_surcharge_percent*(Table1[[#This Row],[taxable wages]]-obamacare_surcharge_amount),0)</f>
        <v>0</v>
      </c>
      <c r="Z433" s="9">
        <f>Table1[[#This Row],[Federal Taxes Owed (Includes AMT)]]+Table1[[#This Row],[Obamacare surcharge premium]]</f>
        <v>31581.5</v>
      </c>
      <c r="AA433" s="9">
        <f>Table1[[#This Row],[taxable wages]]-Table1[[#This Row],[Federal Taxes Owed2]]</f>
        <v>166418.5</v>
      </c>
      <c r="AB433" s="51">
        <f t="shared" si="41"/>
        <v>0.375</v>
      </c>
      <c r="AC433" s="41"/>
      <c r="AD433" s="13"/>
      <c r="AE433" s="13"/>
    </row>
    <row r="434" spans="2:31" x14ac:dyDescent="0.3">
      <c r="B434" s="41">
        <f t="shared" si="42"/>
        <v>198500</v>
      </c>
      <c r="C434" s="1">
        <f>Table1[[#This Row],[taxable wages]]</f>
        <v>198500</v>
      </c>
      <c r="D434" s="1">
        <f>Table1[[#This Row],[taxable wages]]+interest+dividends+short_term_capital_gains+long_term_capital_gains</f>
        <v>198500</v>
      </c>
      <c r="E434" s="1">
        <f>MAX(Table1[[#This Row],[earned income for EITC]:[Agi For Eitc Calc]])</f>
        <v>198500</v>
      </c>
      <c r="F434" s="1">
        <f>Table1[[#This Row],[taxable wages]]+interest+dividends+short_term_capital_gains+long_term_capital_gains-(trad_ira_contributions+MIN(student_loan_interest_cap,student_loan_interest))</f>
        <v>198500</v>
      </c>
      <c r="G434" s="1">
        <f t="shared" si="38"/>
        <v>12600</v>
      </c>
      <c r="H434" s="1">
        <f t="shared" si="39"/>
        <v>28350</v>
      </c>
      <c r="I434" s="1">
        <f>MAX(0,Table1[[#This Row],[Agi]]-Table1[[#This Row],[Exemptions]]-Table1[[#This Row],[Effective Deductions]])</f>
        <v>157550</v>
      </c>
      <c r="J4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31099.5</v>
      </c>
      <c r="K434" s="1">
        <f t="shared" si="40"/>
        <v>5000</v>
      </c>
      <c r="L434" s="1">
        <f>IF(Table1[[#This Row],[Agi]]&gt;ctc_phase_out_begins,ctc_phase_out_rate*(Table1[[#This Row],[Agi]]-ctc_phase_out_begins),0)</f>
        <v>4425</v>
      </c>
      <c r="M434" s="1">
        <f>MAX(Table1[[#This Row],[Child Tax Credit]]-Table1[[#This Row],[Child Tax Credit Phase Out]],0)</f>
        <v>575</v>
      </c>
      <c r="N434" s="1">
        <f>MAX(Table1[[#This Row],[Regular Taxes Owed]]-Table1[[#This Row],[Effective Child Tax Credit]],0)</f>
        <v>30524.5</v>
      </c>
      <c r="O434" s="1">
        <f>MAX(MIN((Table1[[#This Row],[taxable wages]]-3000)*0.15,1000*num_kids_16_younger),0)</f>
        <v>5000</v>
      </c>
      <c r="P434" s="9">
        <f>IF(Table1[[#This Row],[Effective Child Tax Credit]]&gt;Table1[[#This Row],[Regular Taxes Owed]],Table1[[#This Row],[Additional Child Tax Credit ]]-Table1[[#This Row],[Regular Taxes Owed]],0)</f>
        <v>0</v>
      </c>
      <c r="Q4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4" s="1">
        <f>Table1[[#This Row],[Effective Additional Child Tax Credit]]+Table1[[#This Row],[Eitc]]</f>
        <v>0</v>
      </c>
      <c r="S434" s="9">
        <f>Table1[[#This Row],[Regular Taxes Owed - Effective Child Tax Credit]]-Table1[[#This Row],[Total Credits]]</f>
        <v>30524.5</v>
      </c>
      <c r="T434" s="9">
        <f>Table1[[#This Row],[taxable wages]]+interest+dividends+short_term_capital_gains+long_term_capital_gains-(charitable_donations+mortgage_interest)</f>
        <v>198500</v>
      </c>
      <c r="U434" s="9">
        <f>MAX(amt_exemption-amt_exemption_phase_out_rate*MAX(Table1[[#This Row],[taxable wages]]-amt_phase_out_begins,0),0)</f>
        <v>74100</v>
      </c>
      <c r="V4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32344</v>
      </c>
      <c r="W434" s="1">
        <f>IF(AND(Table1[[#This Row],[AMT Taxes]]&gt;Table1[[#This Row],[Regular Taxes Owed]],Table1[[#This Row],[AMT Taxes]]&gt;0),Table1[[#This Row],[AMT Taxes]]-Table1[[#This Row],[Regular Taxes Owed]],0)</f>
        <v>1244.5</v>
      </c>
      <c r="X434" s="9">
        <f>Table1[[#This Row],[Extra Taxes From Amt]]+Table1[[#This Row],[Federal Taxes Owed (No AMT)]]</f>
        <v>31769</v>
      </c>
      <c r="Y434" s="9">
        <f>IF(Table1[[#This Row],[taxable wages]]&gt;obamacare_surcharge_amount,obamacare_surcharge_percent*(Table1[[#This Row],[taxable wages]]-obamacare_surcharge_amount),0)</f>
        <v>0</v>
      </c>
      <c r="Z434" s="9">
        <f>Table1[[#This Row],[Federal Taxes Owed (Includes AMT)]]+Table1[[#This Row],[Obamacare surcharge premium]]</f>
        <v>31769</v>
      </c>
      <c r="AA434" s="9">
        <f>Table1[[#This Row],[taxable wages]]-Table1[[#This Row],[Federal Taxes Owed2]]</f>
        <v>166731</v>
      </c>
      <c r="AB434" s="51">
        <f t="shared" si="41"/>
        <v>0.375</v>
      </c>
      <c r="AC434" s="41"/>
      <c r="AD434" s="13"/>
      <c r="AE434" s="13"/>
    </row>
    <row r="435" spans="2:31" x14ac:dyDescent="0.3">
      <c r="B435" s="41">
        <f t="shared" si="42"/>
        <v>199000</v>
      </c>
      <c r="C435" s="1">
        <f>Table1[[#This Row],[taxable wages]]</f>
        <v>199000</v>
      </c>
      <c r="D435" s="1">
        <f>Table1[[#This Row],[taxable wages]]+interest+dividends+short_term_capital_gains+long_term_capital_gains</f>
        <v>199000</v>
      </c>
      <c r="E435" s="1">
        <f>MAX(Table1[[#This Row],[earned income for EITC]:[Agi For Eitc Calc]])</f>
        <v>199000</v>
      </c>
      <c r="F435" s="1">
        <f>Table1[[#This Row],[taxable wages]]+interest+dividends+short_term_capital_gains+long_term_capital_gains-(trad_ira_contributions+MIN(student_loan_interest_cap,student_loan_interest))</f>
        <v>199000</v>
      </c>
      <c r="G435" s="1">
        <f t="shared" si="38"/>
        <v>12600</v>
      </c>
      <c r="H435" s="1">
        <f t="shared" si="39"/>
        <v>28350</v>
      </c>
      <c r="I435" s="1">
        <f>MAX(0,Table1[[#This Row],[Agi]]-Table1[[#This Row],[Exemptions]]-Table1[[#This Row],[Effective Deductions]])</f>
        <v>158050</v>
      </c>
      <c r="J4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31239.5</v>
      </c>
      <c r="K435" s="1">
        <f t="shared" si="40"/>
        <v>5000</v>
      </c>
      <c r="L435" s="1">
        <f>IF(Table1[[#This Row],[Agi]]&gt;ctc_phase_out_begins,ctc_phase_out_rate*(Table1[[#This Row],[Agi]]-ctc_phase_out_begins),0)</f>
        <v>4450</v>
      </c>
      <c r="M435" s="1">
        <f>MAX(Table1[[#This Row],[Child Tax Credit]]-Table1[[#This Row],[Child Tax Credit Phase Out]],0)</f>
        <v>550</v>
      </c>
      <c r="N435" s="1">
        <f>MAX(Table1[[#This Row],[Regular Taxes Owed]]-Table1[[#This Row],[Effective Child Tax Credit]],0)</f>
        <v>30689.5</v>
      </c>
      <c r="O435" s="1">
        <f>MAX(MIN((Table1[[#This Row],[taxable wages]]-3000)*0.15,1000*num_kids_16_younger),0)</f>
        <v>5000</v>
      </c>
      <c r="P435" s="9">
        <f>IF(Table1[[#This Row],[Effective Child Tax Credit]]&gt;Table1[[#This Row],[Regular Taxes Owed]],Table1[[#This Row],[Additional Child Tax Credit ]]-Table1[[#This Row],[Regular Taxes Owed]],0)</f>
        <v>0</v>
      </c>
      <c r="Q4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5" s="1">
        <f>Table1[[#This Row],[Effective Additional Child Tax Credit]]+Table1[[#This Row],[Eitc]]</f>
        <v>0</v>
      </c>
      <c r="S435" s="9">
        <f>Table1[[#This Row],[Regular Taxes Owed - Effective Child Tax Credit]]-Table1[[#This Row],[Total Credits]]</f>
        <v>30689.5</v>
      </c>
      <c r="T435" s="9">
        <f>Table1[[#This Row],[taxable wages]]+interest+dividends+short_term_capital_gains+long_term_capital_gains-(charitable_donations+mortgage_interest)</f>
        <v>199000</v>
      </c>
      <c r="U435" s="9">
        <f>MAX(amt_exemption-amt_exemption_phase_out_rate*MAX(Table1[[#This Row],[taxable wages]]-amt_phase_out_begins,0),0)</f>
        <v>73975</v>
      </c>
      <c r="V4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32506.5</v>
      </c>
      <c r="W435" s="1">
        <f>IF(AND(Table1[[#This Row],[AMT Taxes]]&gt;Table1[[#This Row],[Regular Taxes Owed]],Table1[[#This Row],[AMT Taxes]]&gt;0),Table1[[#This Row],[AMT Taxes]]-Table1[[#This Row],[Regular Taxes Owed]],0)</f>
        <v>1267</v>
      </c>
      <c r="X435" s="9">
        <f>Table1[[#This Row],[Extra Taxes From Amt]]+Table1[[#This Row],[Federal Taxes Owed (No AMT)]]</f>
        <v>31956.5</v>
      </c>
      <c r="Y435" s="9">
        <f>IF(Table1[[#This Row],[taxable wages]]&gt;obamacare_surcharge_amount,obamacare_surcharge_percent*(Table1[[#This Row],[taxable wages]]-obamacare_surcharge_amount),0)</f>
        <v>0</v>
      </c>
      <c r="Z435" s="9">
        <f>Table1[[#This Row],[Federal Taxes Owed (Includes AMT)]]+Table1[[#This Row],[Obamacare surcharge premium]]</f>
        <v>31956.5</v>
      </c>
      <c r="AA435" s="9">
        <f>Table1[[#This Row],[taxable wages]]-Table1[[#This Row],[Federal Taxes Owed2]]</f>
        <v>167043.5</v>
      </c>
      <c r="AB435" s="51">
        <f t="shared" si="41"/>
        <v>0.375</v>
      </c>
      <c r="AC435" s="41"/>
      <c r="AD435" s="13"/>
      <c r="AE435" s="13"/>
    </row>
    <row r="436" spans="2:31" x14ac:dyDescent="0.3">
      <c r="B436" s="41">
        <f t="shared" si="42"/>
        <v>199500</v>
      </c>
      <c r="C436" s="1">
        <f>Table1[[#This Row],[taxable wages]]</f>
        <v>199500</v>
      </c>
      <c r="D436" s="1">
        <f>Table1[[#This Row],[taxable wages]]+interest+dividends+short_term_capital_gains+long_term_capital_gains</f>
        <v>199500</v>
      </c>
      <c r="E436" s="1">
        <f>MAX(Table1[[#This Row],[earned income for EITC]:[Agi For Eitc Calc]])</f>
        <v>199500</v>
      </c>
      <c r="F436" s="1">
        <f>Table1[[#This Row],[taxable wages]]+interest+dividends+short_term_capital_gains+long_term_capital_gains-(trad_ira_contributions+MIN(student_loan_interest_cap,student_loan_interest))</f>
        <v>199500</v>
      </c>
      <c r="G436" s="1">
        <f t="shared" si="38"/>
        <v>12600</v>
      </c>
      <c r="H436" s="1">
        <f t="shared" si="39"/>
        <v>28350</v>
      </c>
      <c r="I436" s="1">
        <f>MAX(0,Table1[[#This Row],[Agi]]-Table1[[#This Row],[Exemptions]]-Table1[[#This Row],[Effective Deductions]])</f>
        <v>158550</v>
      </c>
      <c r="J4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31379.5</v>
      </c>
      <c r="K436" s="1">
        <f t="shared" si="40"/>
        <v>5000</v>
      </c>
      <c r="L436" s="1">
        <f>IF(Table1[[#This Row],[Agi]]&gt;ctc_phase_out_begins,ctc_phase_out_rate*(Table1[[#This Row],[Agi]]-ctc_phase_out_begins),0)</f>
        <v>4475</v>
      </c>
      <c r="M436" s="1">
        <f>MAX(Table1[[#This Row],[Child Tax Credit]]-Table1[[#This Row],[Child Tax Credit Phase Out]],0)</f>
        <v>525</v>
      </c>
      <c r="N436" s="1">
        <f>MAX(Table1[[#This Row],[Regular Taxes Owed]]-Table1[[#This Row],[Effective Child Tax Credit]],0)</f>
        <v>30854.5</v>
      </c>
      <c r="O436" s="1">
        <f>MAX(MIN((Table1[[#This Row],[taxable wages]]-3000)*0.15,1000*num_kids_16_younger),0)</f>
        <v>5000</v>
      </c>
      <c r="P436" s="9">
        <f>IF(Table1[[#This Row],[Effective Child Tax Credit]]&gt;Table1[[#This Row],[Regular Taxes Owed]],Table1[[#This Row],[Additional Child Tax Credit ]]-Table1[[#This Row],[Regular Taxes Owed]],0)</f>
        <v>0</v>
      </c>
      <c r="Q4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6" s="1">
        <f>Table1[[#This Row],[Effective Additional Child Tax Credit]]+Table1[[#This Row],[Eitc]]</f>
        <v>0</v>
      </c>
      <c r="S436" s="9">
        <f>Table1[[#This Row],[Regular Taxes Owed - Effective Child Tax Credit]]-Table1[[#This Row],[Total Credits]]</f>
        <v>30854.5</v>
      </c>
      <c r="T436" s="9">
        <f>Table1[[#This Row],[taxable wages]]+interest+dividends+short_term_capital_gains+long_term_capital_gains-(charitable_donations+mortgage_interest)</f>
        <v>199500</v>
      </c>
      <c r="U436" s="9">
        <f>MAX(amt_exemption-amt_exemption_phase_out_rate*MAX(Table1[[#This Row],[taxable wages]]-amt_phase_out_begins,0),0)</f>
        <v>73850</v>
      </c>
      <c r="V4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32669</v>
      </c>
      <c r="W436" s="1">
        <f>IF(AND(Table1[[#This Row],[AMT Taxes]]&gt;Table1[[#This Row],[Regular Taxes Owed]],Table1[[#This Row],[AMT Taxes]]&gt;0),Table1[[#This Row],[AMT Taxes]]-Table1[[#This Row],[Regular Taxes Owed]],0)</f>
        <v>1289.5</v>
      </c>
      <c r="X436" s="9">
        <f>Table1[[#This Row],[Extra Taxes From Amt]]+Table1[[#This Row],[Federal Taxes Owed (No AMT)]]</f>
        <v>32144</v>
      </c>
      <c r="Y436" s="9">
        <f>IF(Table1[[#This Row],[taxable wages]]&gt;obamacare_surcharge_amount,obamacare_surcharge_percent*(Table1[[#This Row],[taxable wages]]-obamacare_surcharge_amount),0)</f>
        <v>0</v>
      </c>
      <c r="Z436" s="9">
        <f>Table1[[#This Row],[Federal Taxes Owed (Includes AMT)]]+Table1[[#This Row],[Obamacare surcharge premium]]</f>
        <v>32144</v>
      </c>
      <c r="AA436" s="9">
        <f>Table1[[#This Row],[taxable wages]]-Table1[[#This Row],[Federal Taxes Owed2]]</f>
        <v>167356</v>
      </c>
      <c r="AB436" s="51">
        <f t="shared" si="41"/>
        <v>0.375</v>
      </c>
      <c r="AC436" s="41"/>
      <c r="AD436" s="13"/>
      <c r="AE436" s="13"/>
    </row>
    <row r="437" spans="2:31" x14ac:dyDescent="0.3">
      <c r="B437" s="41">
        <f t="shared" si="42"/>
        <v>200000</v>
      </c>
      <c r="C437" s="1">
        <f>Table1[[#This Row],[taxable wages]]</f>
        <v>200000</v>
      </c>
      <c r="D437" s="1">
        <f>Table1[[#This Row],[taxable wages]]+interest+dividends+short_term_capital_gains+long_term_capital_gains</f>
        <v>200000</v>
      </c>
      <c r="E437" s="1">
        <f>MAX(Table1[[#This Row],[earned income for EITC]:[Agi For Eitc Calc]])</f>
        <v>200000</v>
      </c>
      <c r="F437" s="1">
        <f>Table1[[#This Row],[taxable wages]]+interest+dividends+short_term_capital_gains+long_term_capital_gains-(trad_ira_contributions+MIN(student_loan_interest_cap,student_loan_interest))</f>
        <v>200000</v>
      </c>
      <c r="G437" s="1">
        <f t="shared" si="38"/>
        <v>12600</v>
      </c>
      <c r="H437" s="1">
        <f t="shared" si="39"/>
        <v>28350</v>
      </c>
      <c r="I437" s="1">
        <f>MAX(0,Table1[[#This Row],[Agi]]-Table1[[#This Row],[Exemptions]]-Table1[[#This Row],[Effective Deductions]])</f>
        <v>159050</v>
      </c>
      <c r="J4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31519.5</v>
      </c>
      <c r="K437" s="1">
        <f t="shared" si="40"/>
        <v>5000</v>
      </c>
      <c r="L437" s="1">
        <f>IF(Table1[[#This Row],[Agi]]&gt;ctc_phase_out_begins,ctc_phase_out_rate*(Table1[[#This Row],[Agi]]-ctc_phase_out_begins),0)</f>
        <v>4500</v>
      </c>
      <c r="M437" s="1">
        <f>MAX(Table1[[#This Row],[Child Tax Credit]]-Table1[[#This Row],[Child Tax Credit Phase Out]],0)</f>
        <v>500</v>
      </c>
      <c r="N437" s="1">
        <f>MAX(Table1[[#This Row],[Regular Taxes Owed]]-Table1[[#This Row],[Effective Child Tax Credit]],0)</f>
        <v>31019.5</v>
      </c>
      <c r="O437" s="1">
        <f>MAX(MIN((Table1[[#This Row],[taxable wages]]-3000)*0.15,1000*num_kids_16_younger),0)</f>
        <v>5000</v>
      </c>
      <c r="P437" s="9">
        <f>IF(Table1[[#This Row],[Effective Child Tax Credit]]&gt;Table1[[#This Row],[Regular Taxes Owed]],Table1[[#This Row],[Additional Child Tax Credit ]]-Table1[[#This Row],[Regular Taxes Owed]],0)</f>
        <v>0</v>
      </c>
      <c r="Q4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7" s="1">
        <f>Table1[[#This Row],[Effective Additional Child Tax Credit]]+Table1[[#This Row],[Eitc]]</f>
        <v>0</v>
      </c>
      <c r="S437" s="9">
        <f>Table1[[#This Row],[Regular Taxes Owed - Effective Child Tax Credit]]-Table1[[#This Row],[Total Credits]]</f>
        <v>31019.5</v>
      </c>
      <c r="T437" s="9">
        <f>Table1[[#This Row],[taxable wages]]+interest+dividends+short_term_capital_gains+long_term_capital_gains-(charitable_donations+mortgage_interest)</f>
        <v>200000</v>
      </c>
      <c r="U437" s="9">
        <f>MAX(amt_exemption-amt_exemption_phase_out_rate*MAX(Table1[[#This Row],[taxable wages]]-amt_phase_out_begins,0),0)</f>
        <v>73725</v>
      </c>
      <c r="V4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32831.5</v>
      </c>
      <c r="W437" s="1">
        <f>IF(AND(Table1[[#This Row],[AMT Taxes]]&gt;Table1[[#This Row],[Regular Taxes Owed]],Table1[[#This Row],[AMT Taxes]]&gt;0),Table1[[#This Row],[AMT Taxes]]-Table1[[#This Row],[Regular Taxes Owed]],0)</f>
        <v>1312</v>
      </c>
      <c r="X437" s="9">
        <f>Table1[[#This Row],[Extra Taxes From Amt]]+Table1[[#This Row],[Federal Taxes Owed (No AMT)]]</f>
        <v>32331.5</v>
      </c>
      <c r="Y437" s="9">
        <f>IF(Table1[[#This Row],[taxable wages]]&gt;obamacare_surcharge_amount,obamacare_surcharge_percent*(Table1[[#This Row],[taxable wages]]-obamacare_surcharge_amount),0)</f>
        <v>0</v>
      </c>
      <c r="Z437" s="9">
        <f>Table1[[#This Row],[Federal Taxes Owed (Includes AMT)]]+Table1[[#This Row],[Obamacare surcharge premium]]</f>
        <v>32331.5</v>
      </c>
      <c r="AA437" s="9">
        <f>Table1[[#This Row],[taxable wages]]-Table1[[#This Row],[Federal Taxes Owed2]]</f>
        <v>167668.5</v>
      </c>
      <c r="AB437" s="51">
        <f t="shared" si="41"/>
        <v>0.375</v>
      </c>
      <c r="AC437" s="41"/>
      <c r="AD437" s="13"/>
      <c r="AE437" s="13"/>
    </row>
    <row r="438" spans="2:31" x14ac:dyDescent="0.3">
      <c r="B438" s="41">
        <f t="shared" si="42"/>
        <v>200500</v>
      </c>
      <c r="C438" s="1">
        <f>Table1[[#This Row],[taxable wages]]</f>
        <v>200500</v>
      </c>
      <c r="D438" s="1">
        <f>Table1[[#This Row],[taxable wages]]+interest+dividends+short_term_capital_gains+long_term_capital_gains</f>
        <v>200500</v>
      </c>
      <c r="E438" s="1">
        <f>MAX(Table1[[#This Row],[earned income for EITC]:[Agi For Eitc Calc]])</f>
        <v>200500</v>
      </c>
      <c r="F438" s="1">
        <f>Table1[[#This Row],[taxable wages]]+interest+dividends+short_term_capital_gains+long_term_capital_gains-(trad_ira_contributions+MIN(student_loan_interest_cap,student_loan_interest))</f>
        <v>200500</v>
      </c>
      <c r="G438" s="1">
        <f t="shared" si="38"/>
        <v>12600</v>
      </c>
      <c r="H438" s="1">
        <f t="shared" si="39"/>
        <v>28350</v>
      </c>
      <c r="I438" s="1">
        <f>MAX(0,Table1[[#This Row],[Agi]]-Table1[[#This Row],[Exemptions]]-Table1[[#This Row],[Effective Deductions]])</f>
        <v>159550</v>
      </c>
      <c r="J4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31659.5</v>
      </c>
      <c r="K438" s="1">
        <f t="shared" si="40"/>
        <v>5000</v>
      </c>
      <c r="L438" s="1">
        <f>IF(Table1[[#This Row],[Agi]]&gt;ctc_phase_out_begins,ctc_phase_out_rate*(Table1[[#This Row],[Agi]]-ctc_phase_out_begins),0)</f>
        <v>4525</v>
      </c>
      <c r="M438" s="1">
        <f>MAX(Table1[[#This Row],[Child Tax Credit]]-Table1[[#This Row],[Child Tax Credit Phase Out]],0)</f>
        <v>475</v>
      </c>
      <c r="N438" s="1">
        <f>MAX(Table1[[#This Row],[Regular Taxes Owed]]-Table1[[#This Row],[Effective Child Tax Credit]],0)</f>
        <v>31184.5</v>
      </c>
      <c r="O438" s="1">
        <f>MAX(MIN((Table1[[#This Row],[taxable wages]]-3000)*0.15,1000*num_kids_16_younger),0)</f>
        <v>5000</v>
      </c>
      <c r="P438" s="9">
        <f>IF(Table1[[#This Row],[Effective Child Tax Credit]]&gt;Table1[[#This Row],[Regular Taxes Owed]],Table1[[#This Row],[Additional Child Tax Credit ]]-Table1[[#This Row],[Regular Taxes Owed]],0)</f>
        <v>0</v>
      </c>
      <c r="Q4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8" s="1">
        <f>Table1[[#This Row],[Effective Additional Child Tax Credit]]+Table1[[#This Row],[Eitc]]</f>
        <v>0</v>
      </c>
      <c r="S438" s="9">
        <f>Table1[[#This Row],[Regular Taxes Owed - Effective Child Tax Credit]]-Table1[[#This Row],[Total Credits]]</f>
        <v>31184.5</v>
      </c>
      <c r="T438" s="9">
        <f>Table1[[#This Row],[taxable wages]]+interest+dividends+short_term_capital_gains+long_term_capital_gains-(charitable_donations+mortgage_interest)</f>
        <v>200500</v>
      </c>
      <c r="U438" s="9">
        <f>MAX(amt_exemption-amt_exemption_phase_out_rate*MAX(Table1[[#This Row],[taxable wages]]-amt_phase_out_begins,0),0)</f>
        <v>73600</v>
      </c>
      <c r="V4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32994</v>
      </c>
      <c r="W438" s="1">
        <f>IF(AND(Table1[[#This Row],[AMT Taxes]]&gt;Table1[[#This Row],[Regular Taxes Owed]],Table1[[#This Row],[AMT Taxes]]&gt;0),Table1[[#This Row],[AMT Taxes]]-Table1[[#This Row],[Regular Taxes Owed]],0)</f>
        <v>1334.5</v>
      </c>
      <c r="X438" s="9">
        <f>Table1[[#This Row],[Extra Taxes From Amt]]+Table1[[#This Row],[Federal Taxes Owed (No AMT)]]</f>
        <v>32519</v>
      </c>
      <c r="Y438" s="9">
        <f>IF(Table1[[#This Row],[taxable wages]]&gt;obamacare_surcharge_amount,obamacare_surcharge_percent*(Table1[[#This Row],[taxable wages]]-obamacare_surcharge_amount),0)</f>
        <v>0</v>
      </c>
      <c r="Z438" s="9">
        <f>Table1[[#This Row],[Federal Taxes Owed (Includes AMT)]]+Table1[[#This Row],[Obamacare surcharge premium]]</f>
        <v>32519</v>
      </c>
      <c r="AA438" s="9">
        <f>Table1[[#This Row],[taxable wages]]-Table1[[#This Row],[Federal Taxes Owed2]]</f>
        <v>167981</v>
      </c>
      <c r="AB438" s="51">
        <f t="shared" si="41"/>
        <v>0.375</v>
      </c>
      <c r="AC438" s="41"/>
      <c r="AD438" s="13"/>
      <c r="AE438" s="13"/>
    </row>
    <row r="439" spans="2:31" x14ac:dyDescent="0.3">
      <c r="B439" s="41">
        <f t="shared" si="42"/>
        <v>201000</v>
      </c>
      <c r="C439" s="1">
        <f>Table1[[#This Row],[taxable wages]]</f>
        <v>201000</v>
      </c>
      <c r="D439" s="1">
        <f>Table1[[#This Row],[taxable wages]]+interest+dividends+short_term_capital_gains+long_term_capital_gains</f>
        <v>201000</v>
      </c>
      <c r="E439" s="1">
        <f>MAX(Table1[[#This Row],[earned income for EITC]:[Agi For Eitc Calc]])</f>
        <v>201000</v>
      </c>
      <c r="F439" s="1">
        <f>Table1[[#This Row],[taxable wages]]+interest+dividends+short_term_capital_gains+long_term_capital_gains-(trad_ira_contributions+MIN(student_loan_interest_cap,student_loan_interest))</f>
        <v>201000</v>
      </c>
      <c r="G439" s="1">
        <f t="shared" si="38"/>
        <v>12600</v>
      </c>
      <c r="H439" s="1">
        <f t="shared" si="39"/>
        <v>28350</v>
      </c>
      <c r="I439" s="1">
        <f>MAX(0,Table1[[#This Row],[Agi]]-Table1[[#This Row],[Exemptions]]-Table1[[#This Row],[Effective Deductions]])</f>
        <v>160050</v>
      </c>
      <c r="J4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31799.5</v>
      </c>
      <c r="K439" s="1">
        <f t="shared" si="40"/>
        <v>5000</v>
      </c>
      <c r="L439" s="1">
        <f>IF(Table1[[#This Row],[Agi]]&gt;ctc_phase_out_begins,ctc_phase_out_rate*(Table1[[#This Row],[Agi]]-ctc_phase_out_begins),0)</f>
        <v>4550</v>
      </c>
      <c r="M439" s="1">
        <f>MAX(Table1[[#This Row],[Child Tax Credit]]-Table1[[#This Row],[Child Tax Credit Phase Out]],0)</f>
        <v>450</v>
      </c>
      <c r="N439" s="1">
        <f>MAX(Table1[[#This Row],[Regular Taxes Owed]]-Table1[[#This Row],[Effective Child Tax Credit]],0)</f>
        <v>31349.5</v>
      </c>
      <c r="O439" s="1">
        <f>MAX(MIN((Table1[[#This Row],[taxable wages]]-3000)*0.15,1000*num_kids_16_younger),0)</f>
        <v>5000</v>
      </c>
      <c r="P439" s="9">
        <f>IF(Table1[[#This Row],[Effective Child Tax Credit]]&gt;Table1[[#This Row],[Regular Taxes Owed]],Table1[[#This Row],[Additional Child Tax Credit ]]-Table1[[#This Row],[Regular Taxes Owed]],0)</f>
        <v>0</v>
      </c>
      <c r="Q4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39" s="1">
        <f>Table1[[#This Row],[Effective Additional Child Tax Credit]]+Table1[[#This Row],[Eitc]]</f>
        <v>0</v>
      </c>
      <c r="S439" s="9">
        <f>Table1[[#This Row],[Regular Taxes Owed - Effective Child Tax Credit]]-Table1[[#This Row],[Total Credits]]</f>
        <v>31349.5</v>
      </c>
      <c r="T439" s="9">
        <f>Table1[[#This Row],[taxable wages]]+interest+dividends+short_term_capital_gains+long_term_capital_gains-(charitable_donations+mortgage_interest)</f>
        <v>201000</v>
      </c>
      <c r="U439" s="9">
        <f>MAX(amt_exemption-amt_exemption_phase_out_rate*MAX(Table1[[#This Row],[taxable wages]]-amt_phase_out_begins,0),0)</f>
        <v>73475</v>
      </c>
      <c r="V4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33156.5</v>
      </c>
      <c r="W439" s="1">
        <f>IF(AND(Table1[[#This Row],[AMT Taxes]]&gt;Table1[[#This Row],[Regular Taxes Owed]],Table1[[#This Row],[AMT Taxes]]&gt;0),Table1[[#This Row],[AMT Taxes]]-Table1[[#This Row],[Regular Taxes Owed]],0)</f>
        <v>1357</v>
      </c>
      <c r="X439" s="9">
        <f>Table1[[#This Row],[Extra Taxes From Amt]]+Table1[[#This Row],[Federal Taxes Owed (No AMT)]]</f>
        <v>32706.5</v>
      </c>
      <c r="Y439" s="9">
        <f>IF(Table1[[#This Row],[taxable wages]]&gt;obamacare_surcharge_amount,obamacare_surcharge_percent*(Table1[[#This Row],[taxable wages]]-obamacare_surcharge_amount),0)</f>
        <v>0</v>
      </c>
      <c r="Z439" s="9">
        <f>Table1[[#This Row],[Federal Taxes Owed (Includes AMT)]]+Table1[[#This Row],[Obamacare surcharge premium]]</f>
        <v>32706.5</v>
      </c>
      <c r="AA439" s="9">
        <f>Table1[[#This Row],[taxable wages]]-Table1[[#This Row],[Federal Taxes Owed2]]</f>
        <v>168293.5</v>
      </c>
      <c r="AB439" s="51">
        <f t="shared" si="41"/>
        <v>0.375</v>
      </c>
      <c r="AC439" s="41"/>
      <c r="AD439" s="13"/>
      <c r="AE439" s="13"/>
    </row>
    <row r="440" spans="2:31" x14ac:dyDescent="0.3">
      <c r="B440" s="41">
        <f t="shared" si="42"/>
        <v>201500</v>
      </c>
      <c r="C440" s="1">
        <f>Table1[[#This Row],[taxable wages]]</f>
        <v>201500</v>
      </c>
      <c r="D440" s="1">
        <f>Table1[[#This Row],[taxable wages]]+interest+dividends+short_term_capital_gains+long_term_capital_gains</f>
        <v>201500</v>
      </c>
      <c r="E440" s="1">
        <f>MAX(Table1[[#This Row],[earned income for EITC]:[Agi For Eitc Calc]])</f>
        <v>201500</v>
      </c>
      <c r="F440" s="1">
        <f>Table1[[#This Row],[taxable wages]]+interest+dividends+short_term_capital_gains+long_term_capital_gains-(trad_ira_contributions+MIN(student_loan_interest_cap,student_loan_interest))</f>
        <v>201500</v>
      </c>
      <c r="G440" s="1">
        <f t="shared" si="38"/>
        <v>12600</v>
      </c>
      <c r="H440" s="1">
        <f t="shared" si="39"/>
        <v>28350</v>
      </c>
      <c r="I440" s="1">
        <f>MAX(0,Table1[[#This Row],[Agi]]-Table1[[#This Row],[Exemptions]]-Table1[[#This Row],[Effective Deductions]])</f>
        <v>160550</v>
      </c>
      <c r="J4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31939.5</v>
      </c>
      <c r="K440" s="1">
        <f t="shared" si="40"/>
        <v>5000</v>
      </c>
      <c r="L440" s="1">
        <f>IF(Table1[[#This Row],[Agi]]&gt;ctc_phase_out_begins,ctc_phase_out_rate*(Table1[[#This Row],[Agi]]-ctc_phase_out_begins),0)</f>
        <v>4575</v>
      </c>
      <c r="M440" s="1">
        <f>MAX(Table1[[#This Row],[Child Tax Credit]]-Table1[[#This Row],[Child Tax Credit Phase Out]],0)</f>
        <v>425</v>
      </c>
      <c r="N440" s="1">
        <f>MAX(Table1[[#This Row],[Regular Taxes Owed]]-Table1[[#This Row],[Effective Child Tax Credit]],0)</f>
        <v>31514.5</v>
      </c>
      <c r="O440" s="1">
        <f>MAX(MIN((Table1[[#This Row],[taxable wages]]-3000)*0.15,1000*num_kids_16_younger),0)</f>
        <v>5000</v>
      </c>
      <c r="P440" s="9">
        <f>IF(Table1[[#This Row],[Effective Child Tax Credit]]&gt;Table1[[#This Row],[Regular Taxes Owed]],Table1[[#This Row],[Additional Child Tax Credit ]]-Table1[[#This Row],[Regular Taxes Owed]],0)</f>
        <v>0</v>
      </c>
      <c r="Q4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0" s="1">
        <f>Table1[[#This Row],[Effective Additional Child Tax Credit]]+Table1[[#This Row],[Eitc]]</f>
        <v>0</v>
      </c>
      <c r="S440" s="9">
        <f>Table1[[#This Row],[Regular Taxes Owed - Effective Child Tax Credit]]-Table1[[#This Row],[Total Credits]]</f>
        <v>31514.5</v>
      </c>
      <c r="T440" s="9">
        <f>Table1[[#This Row],[taxable wages]]+interest+dividends+short_term_capital_gains+long_term_capital_gains-(charitable_donations+mortgage_interest)</f>
        <v>201500</v>
      </c>
      <c r="U440" s="9">
        <f>MAX(amt_exemption-amt_exemption_phase_out_rate*MAX(Table1[[#This Row],[taxable wages]]-amt_phase_out_begins,0),0)</f>
        <v>73350</v>
      </c>
      <c r="V4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33319</v>
      </c>
      <c r="W440" s="1">
        <f>IF(AND(Table1[[#This Row],[AMT Taxes]]&gt;Table1[[#This Row],[Regular Taxes Owed]],Table1[[#This Row],[AMT Taxes]]&gt;0),Table1[[#This Row],[AMT Taxes]]-Table1[[#This Row],[Regular Taxes Owed]],0)</f>
        <v>1379.5</v>
      </c>
      <c r="X440" s="9">
        <f>Table1[[#This Row],[Extra Taxes From Amt]]+Table1[[#This Row],[Federal Taxes Owed (No AMT)]]</f>
        <v>32894</v>
      </c>
      <c r="Y440" s="9">
        <f>IF(Table1[[#This Row],[taxable wages]]&gt;obamacare_surcharge_amount,obamacare_surcharge_percent*(Table1[[#This Row],[taxable wages]]-obamacare_surcharge_amount),0)</f>
        <v>0</v>
      </c>
      <c r="Z440" s="9">
        <f>Table1[[#This Row],[Federal Taxes Owed (Includes AMT)]]+Table1[[#This Row],[Obamacare surcharge premium]]</f>
        <v>32894</v>
      </c>
      <c r="AA440" s="9">
        <f>Table1[[#This Row],[taxable wages]]-Table1[[#This Row],[Federal Taxes Owed2]]</f>
        <v>168606</v>
      </c>
      <c r="AB440" s="51">
        <f t="shared" si="41"/>
        <v>0.375</v>
      </c>
      <c r="AC440" s="41"/>
      <c r="AD440" s="13"/>
      <c r="AE440" s="13"/>
    </row>
    <row r="441" spans="2:31" x14ac:dyDescent="0.3">
      <c r="B441" s="41">
        <f t="shared" si="42"/>
        <v>202000</v>
      </c>
      <c r="C441" s="1">
        <f>Table1[[#This Row],[taxable wages]]</f>
        <v>202000</v>
      </c>
      <c r="D441" s="1">
        <f>Table1[[#This Row],[taxable wages]]+interest+dividends+short_term_capital_gains+long_term_capital_gains</f>
        <v>202000</v>
      </c>
      <c r="E441" s="1">
        <f>MAX(Table1[[#This Row],[earned income for EITC]:[Agi For Eitc Calc]])</f>
        <v>202000</v>
      </c>
      <c r="F441" s="1">
        <f>Table1[[#This Row],[taxable wages]]+interest+dividends+short_term_capital_gains+long_term_capital_gains-(trad_ira_contributions+MIN(student_loan_interest_cap,student_loan_interest))</f>
        <v>202000</v>
      </c>
      <c r="G441" s="1">
        <f t="shared" si="38"/>
        <v>12600</v>
      </c>
      <c r="H441" s="1">
        <f t="shared" si="39"/>
        <v>28350</v>
      </c>
      <c r="I441" s="1">
        <f>MAX(0,Table1[[#This Row],[Agi]]-Table1[[#This Row],[Exemptions]]-Table1[[#This Row],[Effective Deductions]])</f>
        <v>161050</v>
      </c>
      <c r="J4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32079.5</v>
      </c>
      <c r="K441" s="1">
        <f t="shared" si="40"/>
        <v>5000</v>
      </c>
      <c r="L441" s="1">
        <f>IF(Table1[[#This Row],[Agi]]&gt;ctc_phase_out_begins,ctc_phase_out_rate*(Table1[[#This Row],[Agi]]-ctc_phase_out_begins),0)</f>
        <v>4600</v>
      </c>
      <c r="M441" s="1">
        <f>MAX(Table1[[#This Row],[Child Tax Credit]]-Table1[[#This Row],[Child Tax Credit Phase Out]],0)</f>
        <v>400</v>
      </c>
      <c r="N441" s="1">
        <f>MAX(Table1[[#This Row],[Regular Taxes Owed]]-Table1[[#This Row],[Effective Child Tax Credit]],0)</f>
        <v>31679.5</v>
      </c>
      <c r="O441" s="1">
        <f>MAX(MIN((Table1[[#This Row],[taxable wages]]-3000)*0.15,1000*num_kids_16_younger),0)</f>
        <v>5000</v>
      </c>
      <c r="P441" s="9">
        <f>IF(Table1[[#This Row],[Effective Child Tax Credit]]&gt;Table1[[#This Row],[Regular Taxes Owed]],Table1[[#This Row],[Additional Child Tax Credit ]]-Table1[[#This Row],[Regular Taxes Owed]],0)</f>
        <v>0</v>
      </c>
      <c r="Q4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1" s="1">
        <f>Table1[[#This Row],[Effective Additional Child Tax Credit]]+Table1[[#This Row],[Eitc]]</f>
        <v>0</v>
      </c>
      <c r="S441" s="9">
        <f>Table1[[#This Row],[Regular Taxes Owed - Effective Child Tax Credit]]-Table1[[#This Row],[Total Credits]]</f>
        <v>31679.5</v>
      </c>
      <c r="T441" s="9">
        <f>Table1[[#This Row],[taxable wages]]+interest+dividends+short_term_capital_gains+long_term_capital_gains-(charitable_donations+mortgage_interest)</f>
        <v>202000</v>
      </c>
      <c r="U441" s="9">
        <f>MAX(amt_exemption-amt_exemption_phase_out_rate*MAX(Table1[[#This Row],[taxable wages]]-amt_phase_out_begins,0),0)</f>
        <v>73225</v>
      </c>
      <c r="V4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33481.5</v>
      </c>
      <c r="W441" s="1">
        <f>IF(AND(Table1[[#This Row],[AMT Taxes]]&gt;Table1[[#This Row],[Regular Taxes Owed]],Table1[[#This Row],[AMT Taxes]]&gt;0),Table1[[#This Row],[AMT Taxes]]-Table1[[#This Row],[Regular Taxes Owed]],0)</f>
        <v>1402</v>
      </c>
      <c r="X441" s="9">
        <f>Table1[[#This Row],[Extra Taxes From Amt]]+Table1[[#This Row],[Federal Taxes Owed (No AMT)]]</f>
        <v>33081.5</v>
      </c>
      <c r="Y441" s="9">
        <f>IF(Table1[[#This Row],[taxable wages]]&gt;obamacare_surcharge_amount,obamacare_surcharge_percent*(Table1[[#This Row],[taxable wages]]-obamacare_surcharge_amount),0)</f>
        <v>0</v>
      </c>
      <c r="Z441" s="9">
        <f>Table1[[#This Row],[Federal Taxes Owed (Includes AMT)]]+Table1[[#This Row],[Obamacare surcharge premium]]</f>
        <v>33081.5</v>
      </c>
      <c r="AA441" s="9">
        <f>Table1[[#This Row],[taxable wages]]-Table1[[#This Row],[Federal Taxes Owed2]]</f>
        <v>168918.5</v>
      </c>
      <c r="AB441" s="51">
        <f t="shared" si="41"/>
        <v>0.375</v>
      </c>
      <c r="AC441" s="41"/>
      <c r="AD441" s="13"/>
      <c r="AE441" s="13"/>
    </row>
    <row r="442" spans="2:31" x14ac:dyDescent="0.3">
      <c r="B442" s="41">
        <f t="shared" si="42"/>
        <v>202500</v>
      </c>
      <c r="C442" s="1">
        <f>Table1[[#This Row],[taxable wages]]</f>
        <v>202500</v>
      </c>
      <c r="D442" s="1">
        <f>Table1[[#This Row],[taxable wages]]+interest+dividends+short_term_capital_gains+long_term_capital_gains</f>
        <v>202500</v>
      </c>
      <c r="E442" s="1">
        <f>MAX(Table1[[#This Row],[earned income for EITC]:[Agi For Eitc Calc]])</f>
        <v>202500</v>
      </c>
      <c r="F442" s="1">
        <f>Table1[[#This Row],[taxable wages]]+interest+dividends+short_term_capital_gains+long_term_capital_gains-(trad_ira_contributions+MIN(student_loan_interest_cap,student_loan_interest))</f>
        <v>202500</v>
      </c>
      <c r="G442" s="1">
        <f t="shared" si="38"/>
        <v>12600</v>
      </c>
      <c r="H442" s="1">
        <f t="shared" si="39"/>
        <v>28350</v>
      </c>
      <c r="I442" s="1">
        <f>MAX(0,Table1[[#This Row],[Agi]]-Table1[[#This Row],[Exemptions]]-Table1[[#This Row],[Effective Deductions]])</f>
        <v>161550</v>
      </c>
      <c r="J4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32219.5</v>
      </c>
      <c r="K442" s="1">
        <f t="shared" si="40"/>
        <v>5000</v>
      </c>
      <c r="L442" s="1">
        <f>IF(Table1[[#This Row],[Agi]]&gt;ctc_phase_out_begins,ctc_phase_out_rate*(Table1[[#This Row],[Agi]]-ctc_phase_out_begins),0)</f>
        <v>4625</v>
      </c>
      <c r="M442" s="1">
        <f>MAX(Table1[[#This Row],[Child Tax Credit]]-Table1[[#This Row],[Child Tax Credit Phase Out]],0)</f>
        <v>375</v>
      </c>
      <c r="N442" s="1">
        <f>MAX(Table1[[#This Row],[Regular Taxes Owed]]-Table1[[#This Row],[Effective Child Tax Credit]],0)</f>
        <v>31844.5</v>
      </c>
      <c r="O442" s="1">
        <f>MAX(MIN((Table1[[#This Row],[taxable wages]]-3000)*0.15,1000*num_kids_16_younger),0)</f>
        <v>5000</v>
      </c>
      <c r="P442" s="9">
        <f>IF(Table1[[#This Row],[Effective Child Tax Credit]]&gt;Table1[[#This Row],[Regular Taxes Owed]],Table1[[#This Row],[Additional Child Tax Credit ]]-Table1[[#This Row],[Regular Taxes Owed]],0)</f>
        <v>0</v>
      </c>
      <c r="Q4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2" s="1">
        <f>Table1[[#This Row],[Effective Additional Child Tax Credit]]+Table1[[#This Row],[Eitc]]</f>
        <v>0</v>
      </c>
      <c r="S442" s="9">
        <f>Table1[[#This Row],[Regular Taxes Owed - Effective Child Tax Credit]]-Table1[[#This Row],[Total Credits]]</f>
        <v>31844.5</v>
      </c>
      <c r="T442" s="9">
        <f>Table1[[#This Row],[taxable wages]]+interest+dividends+short_term_capital_gains+long_term_capital_gains-(charitable_donations+mortgage_interest)</f>
        <v>202500</v>
      </c>
      <c r="U442" s="9">
        <f>MAX(amt_exemption-amt_exemption_phase_out_rate*MAX(Table1[[#This Row],[taxable wages]]-amt_phase_out_begins,0),0)</f>
        <v>73100</v>
      </c>
      <c r="V4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33644</v>
      </c>
      <c r="W442" s="1">
        <f>IF(AND(Table1[[#This Row],[AMT Taxes]]&gt;Table1[[#This Row],[Regular Taxes Owed]],Table1[[#This Row],[AMT Taxes]]&gt;0),Table1[[#This Row],[AMT Taxes]]-Table1[[#This Row],[Regular Taxes Owed]],0)</f>
        <v>1424.5</v>
      </c>
      <c r="X442" s="9">
        <f>Table1[[#This Row],[Extra Taxes From Amt]]+Table1[[#This Row],[Federal Taxes Owed (No AMT)]]</f>
        <v>33269</v>
      </c>
      <c r="Y442" s="9">
        <f>IF(Table1[[#This Row],[taxable wages]]&gt;obamacare_surcharge_amount,obamacare_surcharge_percent*(Table1[[#This Row],[taxable wages]]-obamacare_surcharge_amount),0)</f>
        <v>0</v>
      </c>
      <c r="Z442" s="9">
        <f>Table1[[#This Row],[Federal Taxes Owed (Includes AMT)]]+Table1[[#This Row],[Obamacare surcharge premium]]</f>
        <v>33269</v>
      </c>
      <c r="AA442" s="9">
        <f>Table1[[#This Row],[taxable wages]]-Table1[[#This Row],[Federal Taxes Owed2]]</f>
        <v>169231</v>
      </c>
      <c r="AB442" s="51">
        <f t="shared" si="41"/>
        <v>0.375</v>
      </c>
      <c r="AC442" s="41"/>
      <c r="AD442" s="13"/>
      <c r="AE442" s="13"/>
    </row>
    <row r="443" spans="2:31" x14ac:dyDescent="0.3">
      <c r="B443" s="41">
        <f t="shared" si="42"/>
        <v>203000</v>
      </c>
      <c r="C443" s="1">
        <f>Table1[[#This Row],[taxable wages]]</f>
        <v>203000</v>
      </c>
      <c r="D443" s="1">
        <f>Table1[[#This Row],[taxable wages]]+interest+dividends+short_term_capital_gains+long_term_capital_gains</f>
        <v>203000</v>
      </c>
      <c r="E443" s="1">
        <f>MAX(Table1[[#This Row],[earned income for EITC]:[Agi For Eitc Calc]])</f>
        <v>203000</v>
      </c>
      <c r="F443" s="1">
        <f>Table1[[#This Row],[taxable wages]]+interest+dividends+short_term_capital_gains+long_term_capital_gains-(trad_ira_contributions+MIN(student_loan_interest_cap,student_loan_interest))</f>
        <v>203000</v>
      </c>
      <c r="G443" s="1">
        <f t="shared" si="38"/>
        <v>12600</v>
      </c>
      <c r="H443" s="1">
        <f t="shared" si="39"/>
        <v>28350</v>
      </c>
      <c r="I443" s="1">
        <f>MAX(0,Table1[[#This Row],[Agi]]-Table1[[#This Row],[Exemptions]]-Table1[[#This Row],[Effective Deductions]])</f>
        <v>162050</v>
      </c>
      <c r="J4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32359.5</v>
      </c>
      <c r="K443" s="1">
        <f t="shared" si="40"/>
        <v>5000</v>
      </c>
      <c r="L443" s="1">
        <f>IF(Table1[[#This Row],[Agi]]&gt;ctc_phase_out_begins,ctc_phase_out_rate*(Table1[[#This Row],[Agi]]-ctc_phase_out_begins),0)</f>
        <v>4650</v>
      </c>
      <c r="M443" s="1">
        <f>MAX(Table1[[#This Row],[Child Tax Credit]]-Table1[[#This Row],[Child Tax Credit Phase Out]],0)</f>
        <v>350</v>
      </c>
      <c r="N443" s="1">
        <f>MAX(Table1[[#This Row],[Regular Taxes Owed]]-Table1[[#This Row],[Effective Child Tax Credit]],0)</f>
        <v>32009.5</v>
      </c>
      <c r="O443" s="1">
        <f>MAX(MIN((Table1[[#This Row],[taxable wages]]-3000)*0.15,1000*num_kids_16_younger),0)</f>
        <v>5000</v>
      </c>
      <c r="P443" s="9">
        <f>IF(Table1[[#This Row],[Effective Child Tax Credit]]&gt;Table1[[#This Row],[Regular Taxes Owed]],Table1[[#This Row],[Additional Child Tax Credit ]]-Table1[[#This Row],[Regular Taxes Owed]],0)</f>
        <v>0</v>
      </c>
      <c r="Q4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3" s="1">
        <f>Table1[[#This Row],[Effective Additional Child Tax Credit]]+Table1[[#This Row],[Eitc]]</f>
        <v>0</v>
      </c>
      <c r="S443" s="9">
        <f>Table1[[#This Row],[Regular Taxes Owed - Effective Child Tax Credit]]-Table1[[#This Row],[Total Credits]]</f>
        <v>32009.5</v>
      </c>
      <c r="T443" s="9">
        <f>Table1[[#This Row],[taxable wages]]+interest+dividends+short_term_capital_gains+long_term_capital_gains-(charitable_donations+mortgage_interest)</f>
        <v>203000</v>
      </c>
      <c r="U443" s="9">
        <f>MAX(amt_exemption-amt_exemption_phase_out_rate*MAX(Table1[[#This Row],[taxable wages]]-amt_phase_out_begins,0),0)</f>
        <v>72975</v>
      </c>
      <c r="V4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33806.5</v>
      </c>
      <c r="W443" s="1">
        <f>IF(AND(Table1[[#This Row],[AMT Taxes]]&gt;Table1[[#This Row],[Regular Taxes Owed]],Table1[[#This Row],[AMT Taxes]]&gt;0),Table1[[#This Row],[AMT Taxes]]-Table1[[#This Row],[Regular Taxes Owed]],0)</f>
        <v>1447</v>
      </c>
      <c r="X443" s="9">
        <f>Table1[[#This Row],[Extra Taxes From Amt]]+Table1[[#This Row],[Federal Taxes Owed (No AMT)]]</f>
        <v>33456.5</v>
      </c>
      <c r="Y443" s="9">
        <f>IF(Table1[[#This Row],[taxable wages]]&gt;obamacare_surcharge_amount,obamacare_surcharge_percent*(Table1[[#This Row],[taxable wages]]-obamacare_surcharge_amount),0)</f>
        <v>0</v>
      </c>
      <c r="Z443" s="9">
        <f>Table1[[#This Row],[Federal Taxes Owed (Includes AMT)]]+Table1[[#This Row],[Obamacare surcharge premium]]</f>
        <v>33456.5</v>
      </c>
      <c r="AA443" s="9">
        <f>Table1[[#This Row],[taxable wages]]-Table1[[#This Row],[Federal Taxes Owed2]]</f>
        <v>169543.5</v>
      </c>
      <c r="AB443" s="51">
        <f t="shared" si="41"/>
        <v>0.375</v>
      </c>
      <c r="AC443" s="41"/>
      <c r="AD443" s="13"/>
      <c r="AE443" s="13"/>
    </row>
    <row r="444" spans="2:31" x14ac:dyDescent="0.3">
      <c r="B444" s="41">
        <f t="shared" si="42"/>
        <v>203500</v>
      </c>
      <c r="C444" s="1">
        <f>Table1[[#This Row],[taxable wages]]</f>
        <v>203500</v>
      </c>
      <c r="D444" s="1">
        <f>Table1[[#This Row],[taxable wages]]+interest+dividends+short_term_capital_gains+long_term_capital_gains</f>
        <v>203500</v>
      </c>
      <c r="E444" s="1">
        <f>MAX(Table1[[#This Row],[earned income for EITC]:[Agi For Eitc Calc]])</f>
        <v>203500</v>
      </c>
      <c r="F444" s="1">
        <f>Table1[[#This Row],[taxable wages]]+interest+dividends+short_term_capital_gains+long_term_capital_gains-(trad_ira_contributions+MIN(student_loan_interest_cap,student_loan_interest))</f>
        <v>203500</v>
      </c>
      <c r="G444" s="1">
        <f t="shared" si="38"/>
        <v>12600</v>
      </c>
      <c r="H444" s="1">
        <f t="shared" si="39"/>
        <v>28350</v>
      </c>
      <c r="I444" s="1">
        <f>MAX(0,Table1[[#This Row],[Agi]]-Table1[[#This Row],[Exemptions]]-Table1[[#This Row],[Effective Deductions]])</f>
        <v>162550</v>
      </c>
      <c r="J4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32499.5</v>
      </c>
      <c r="K444" s="1">
        <f t="shared" si="40"/>
        <v>5000</v>
      </c>
      <c r="L444" s="1">
        <f>IF(Table1[[#This Row],[Agi]]&gt;ctc_phase_out_begins,ctc_phase_out_rate*(Table1[[#This Row],[Agi]]-ctc_phase_out_begins),0)</f>
        <v>4675</v>
      </c>
      <c r="M444" s="1">
        <f>MAX(Table1[[#This Row],[Child Tax Credit]]-Table1[[#This Row],[Child Tax Credit Phase Out]],0)</f>
        <v>325</v>
      </c>
      <c r="N444" s="1">
        <f>MAX(Table1[[#This Row],[Regular Taxes Owed]]-Table1[[#This Row],[Effective Child Tax Credit]],0)</f>
        <v>32174.5</v>
      </c>
      <c r="O444" s="1">
        <f>MAX(MIN((Table1[[#This Row],[taxable wages]]-3000)*0.15,1000*num_kids_16_younger),0)</f>
        <v>5000</v>
      </c>
      <c r="P444" s="9">
        <f>IF(Table1[[#This Row],[Effective Child Tax Credit]]&gt;Table1[[#This Row],[Regular Taxes Owed]],Table1[[#This Row],[Additional Child Tax Credit ]]-Table1[[#This Row],[Regular Taxes Owed]],0)</f>
        <v>0</v>
      </c>
      <c r="Q4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4" s="1">
        <f>Table1[[#This Row],[Effective Additional Child Tax Credit]]+Table1[[#This Row],[Eitc]]</f>
        <v>0</v>
      </c>
      <c r="S444" s="9">
        <f>Table1[[#This Row],[Regular Taxes Owed - Effective Child Tax Credit]]-Table1[[#This Row],[Total Credits]]</f>
        <v>32174.5</v>
      </c>
      <c r="T444" s="9">
        <f>Table1[[#This Row],[taxable wages]]+interest+dividends+short_term_capital_gains+long_term_capital_gains-(charitable_donations+mortgage_interest)</f>
        <v>203500</v>
      </c>
      <c r="U444" s="9">
        <f>MAX(amt_exemption-amt_exemption_phase_out_rate*MAX(Table1[[#This Row],[taxable wages]]-amt_phase_out_begins,0),0)</f>
        <v>72850</v>
      </c>
      <c r="V4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33969</v>
      </c>
      <c r="W444" s="1">
        <f>IF(AND(Table1[[#This Row],[AMT Taxes]]&gt;Table1[[#This Row],[Regular Taxes Owed]],Table1[[#This Row],[AMT Taxes]]&gt;0),Table1[[#This Row],[AMT Taxes]]-Table1[[#This Row],[Regular Taxes Owed]],0)</f>
        <v>1469.5</v>
      </c>
      <c r="X444" s="9">
        <f>Table1[[#This Row],[Extra Taxes From Amt]]+Table1[[#This Row],[Federal Taxes Owed (No AMT)]]</f>
        <v>33644</v>
      </c>
      <c r="Y444" s="9">
        <f>IF(Table1[[#This Row],[taxable wages]]&gt;obamacare_surcharge_amount,obamacare_surcharge_percent*(Table1[[#This Row],[taxable wages]]-obamacare_surcharge_amount),0)</f>
        <v>0</v>
      </c>
      <c r="Z444" s="9">
        <f>Table1[[#This Row],[Federal Taxes Owed (Includes AMT)]]+Table1[[#This Row],[Obamacare surcharge premium]]</f>
        <v>33644</v>
      </c>
      <c r="AA444" s="9">
        <f>Table1[[#This Row],[taxable wages]]-Table1[[#This Row],[Federal Taxes Owed2]]</f>
        <v>169856</v>
      </c>
      <c r="AB444" s="51">
        <f t="shared" si="41"/>
        <v>0.375</v>
      </c>
      <c r="AC444" s="41"/>
      <c r="AD444" s="13"/>
      <c r="AE444" s="13"/>
    </row>
    <row r="445" spans="2:31" x14ac:dyDescent="0.3">
      <c r="B445" s="41">
        <f t="shared" si="42"/>
        <v>204000</v>
      </c>
      <c r="C445" s="1">
        <f>Table1[[#This Row],[taxable wages]]</f>
        <v>204000</v>
      </c>
      <c r="D445" s="1">
        <f>Table1[[#This Row],[taxable wages]]+interest+dividends+short_term_capital_gains+long_term_capital_gains</f>
        <v>204000</v>
      </c>
      <c r="E445" s="1">
        <f>MAX(Table1[[#This Row],[earned income for EITC]:[Agi For Eitc Calc]])</f>
        <v>204000</v>
      </c>
      <c r="F445" s="1">
        <f>Table1[[#This Row],[taxable wages]]+interest+dividends+short_term_capital_gains+long_term_capital_gains-(trad_ira_contributions+MIN(student_loan_interest_cap,student_loan_interest))</f>
        <v>204000</v>
      </c>
      <c r="G445" s="1">
        <f t="shared" si="38"/>
        <v>12600</v>
      </c>
      <c r="H445" s="1">
        <f t="shared" si="39"/>
        <v>28350</v>
      </c>
      <c r="I445" s="1">
        <f>MAX(0,Table1[[#This Row],[Agi]]-Table1[[#This Row],[Exemptions]]-Table1[[#This Row],[Effective Deductions]])</f>
        <v>163050</v>
      </c>
      <c r="J4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32639.5</v>
      </c>
      <c r="K445" s="1">
        <f t="shared" si="40"/>
        <v>5000</v>
      </c>
      <c r="L445" s="1">
        <f>IF(Table1[[#This Row],[Agi]]&gt;ctc_phase_out_begins,ctc_phase_out_rate*(Table1[[#This Row],[Agi]]-ctc_phase_out_begins),0)</f>
        <v>4700</v>
      </c>
      <c r="M445" s="1">
        <f>MAX(Table1[[#This Row],[Child Tax Credit]]-Table1[[#This Row],[Child Tax Credit Phase Out]],0)</f>
        <v>300</v>
      </c>
      <c r="N445" s="1">
        <f>MAX(Table1[[#This Row],[Regular Taxes Owed]]-Table1[[#This Row],[Effective Child Tax Credit]],0)</f>
        <v>32339.5</v>
      </c>
      <c r="O445" s="1">
        <f>MAX(MIN((Table1[[#This Row],[taxable wages]]-3000)*0.15,1000*num_kids_16_younger),0)</f>
        <v>5000</v>
      </c>
      <c r="P445" s="9">
        <f>IF(Table1[[#This Row],[Effective Child Tax Credit]]&gt;Table1[[#This Row],[Regular Taxes Owed]],Table1[[#This Row],[Additional Child Tax Credit ]]-Table1[[#This Row],[Regular Taxes Owed]],0)</f>
        <v>0</v>
      </c>
      <c r="Q4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5" s="1">
        <f>Table1[[#This Row],[Effective Additional Child Tax Credit]]+Table1[[#This Row],[Eitc]]</f>
        <v>0</v>
      </c>
      <c r="S445" s="9">
        <f>Table1[[#This Row],[Regular Taxes Owed - Effective Child Tax Credit]]-Table1[[#This Row],[Total Credits]]</f>
        <v>32339.5</v>
      </c>
      <c r="T445" s="9">
        <f>Table1[[#This Row],[taxable wages]]+interest+dividends+short_term_capital_gains+long_term_capital_gains-(charitable_donations+mortgage_interest)</f>
        <v>204000</v>
      </c>
      <c r="U445" s="9">
        <f>MAX(amt_exemption-amt_exemption_phase_out_rate*MAX(Table1[[#This Row],[taxable wages]]-amt_phase_out_begins,0),0)</f>
        <v>72725</v>
      </c>
      <c r="V4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34131.5</v>
      </c>
      <c r="W445" s="1">
        <f>IF(AND(Table1[[#This Row],[AMT Taxes]]&gt;Table1[[#This Row],[Regular Taxes Owed]],Table1[[#This Row],[AMT Taxes]]&gt;0),Table1[[#This Row],[AMT Taxes]]-Table1[[#This Row],[Regular Taxes Owed]],0)</f>
        <v>1492</v>
      </c>
      <c r="X445" s="9">
        <f>Table1[[#This Row],[Extra Taxes From Amt]]+Table1[[#This Row],[Federal Taxes Owed (No AMT)]]</f>
        <v>33831.5</v>
      </c>
      <c r="Y445" s="9">
        <f>IF(Table1[[#This Row],[taxable wages]]&gt;obamacare_surcharge_amount,obamacare_surcharge_percent*(Table1[[#This Row],[taxable wages]]-obamacare_surcharge_amount),0)</f>
        <v>0</v>
      </c>
      <c r="Z445" s="9">
        <f>Table1[[#This Row],[Federal Taxes Owed (Includes AMT)]]+Table1[[#This Row],[Obamacare surcharge premium]]</f>
        <v>33831.5</v>
      </c>
      <c r="AA445" s="9">
        <f>Table1[[#This Row],[taxable wages]]-Table1[[#This Row],[Federal Taxes Owed2]]</f>
        <v>170168.5</v>
      </c>
      <c r="AB445" s="51">
        <f t="shared" si="41"/>
        <v>0.375</v>
      </c>
      <c r="AC445" s="41"/>
      <c r="AD445" s="13"/>
      <c r="AE445" s="13"/>
    </row>
    <row r="446" spans="2:31" x14ac:dyDescent="0.3">
      <c r="B446" s="41">
        <f t="shared" si="42"/>
        <v>204500</v>
      </c>
      <c r="C446" s="1">
        <f>Table1[[#This Row],[taxable wages]]</f>
        <v>204500</v>
      </c>
      <c r="D446" s="1">
        <f>Table1[[#This Row],[taxable wages]]+interest+dividends+short_term_capital_gains+long_term_capital_gains</f>
        <v>204500</v>
      </c>
      <c r="E446" s="1">
        <f>MAX(Table1[[#This Row],[earned income for EITC]:[Agi For Eitc Calc]])</f>
        <v>204500</v>
      </c>
      <c r="F446" s="1">
        <f>Table1[[#This Row],[taxable wages]]+interest+dividends+short_term_capital_gains+long_term_capital_gains-(trad_ira_contributions+MIN(student_loan_interest_cap,student_loan_interest))</f>
        <v>204500</v>
      </c>
      <c r="G446" s="1">
        <f t="shared" si="38"/>
        <v>12600</v>
      </c>
      <c r="H446" s="1">
        <f t="shared" si="39"/>
        <v>28350</v>
      </c>
      <c r="I446" s="1">
        <f>MAX(0,Table1[[#This Row],[Agi]]-Table1[[#This Row],[Exemptions]]-Table1[[#This Row],[Effective Deductions]])</f>
        <v>163550</v>
      </c>
      <c r="J4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32779.5</v>
      </c>
      <c r="K446" s="1">
        <f t="shared" si="40"/>
        <v>5000</v>
      </c>
      <c r="L446" s="1">
        <f>IF(Table1[[#This Row],[Agi]]&gt;ctc_phase_out_begins,ctc_phase_out_rate*(Table1[[#This Row],[Agi]]-ctc_phase_out_begins),0)</f>
        <v>4725</v>
      </c>
      <c r="M446" s="1">
        <f>MAX(Table1[[#This Row],[Child Tax Credit]]-Table1[[#This Row],[Child Tax Credit Phase Out]],0)</f>
        <v>275</v>
      </c>
      <c r="N446" s="1">
        <f>MAX(Table1[[#This Row],[Regular Taxes Owed]]-Table1[[#This Row],[Effective Child Tax Credit]],0)</f>
        <v>32504.5</v>
      </c>
      <c r="O446" s="1">
        <f>MAX(MIN((Table1[[#This Row],[taxable wages]]-3000)*0.15,1000*num_kids_16_younger),0)</f>
        <v>5000</v>
      </c>
      <c r="P446" s="9">
        <f>IF(Table1[[#This Row],[Effective Child Tax Credit]]&gt;Table1[[#This Row],[Regular Taxes Owed]],Table1[[#This Row],[Additional Child Tax Credit ]]-Table1[[#This Row],[Regular Taxes Owed]],0)</f>
        <v>0</v>
      </c>
      <c r="Q4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6" s="1">
        <f>Table1[[#This Row],[Effective Additional Child Tax Credit]]+Table1[[#This Row],[Eitc]]</f>
        <v>0</v>
      </c>
      <c r="S446" s="9">
        <f>Table1[[#This Row],[Regular Taxes Owed - Effective Child Tax Credit]]-Table1[[#This Row],[Total Credits]]</f>
        <v>32504.5</v>
      </c>
      <c r="T446" s="9">
        <f>Table1[[#This Row],[taxable wages]]+interest+dividends+short_term_capital_gains+long_term_capital_gains-(charitable_donations+mortgage_interest)</f>
        <v>204500</v>
      </c>
      <c r="U446" s="9">
        <f>MAX(amt_exemption-amt_exemption_phase_out_rate*MAX(Table1[[#This Row],[taxable wages]]-amt_phase_out_begins,0),0)</f>
        <v>72600</v>
      </c>
      <c r="V4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34294</v>
      </c>
      <c r="W446" s="1">
        <f>IF(AND(Table1[[#This Row],[AMT Taxes]]&gt;Table1[[#This Row],[Regular Taxes Owed]],Table1[[#This Row],[AMT Taxes]]&gt;0),Table1[[#This Row],[AMT Taxes]]-Table1[[#This Row],[Regular Taxes Owed]],0)</f>
        <v>1514.5</v>
      </c>
      <c r="X446" s="9">
        <f>Table1[[#This Row],[Extra Taxes From Amt]]+Table1[[#This Row],[Federal Taxes Owed (No AMT)]]</f>
        <v>34019</v>
      </c>
      <c r="Y446" s="9">
        <f>IF(Table1[[#This Row],[taxable wages]]&gt;obamacare_surcharge_amount,obamacare_surcharge_percent*(Table1[[#This Row],[taxable wages]]-obamacare_surcharge_amount),0)</f>
        <v>0</v>
      </c>
      <c r="Z446" s="9">
        <f>Table1[[#This Row],[Federal Taxes Owed (Includes AMT)]]+Table1[[#This Row],[Obamacare surcharge premium]]</f>
        <v>34019</v>
      </c>
      <c r="AA446" s="9">
        <f>Table1[[#This Row],[taxable wages]]-Table1[[#This Row],[Federal Taxes Owed2]]</f>
        <v>170481</v>
      </c>
      <c r="AB446" s="51">
        <f t="shared" si="41"/>
        <v>0.375</v>
      </c>
      <c r="AC446" s="41"/>
      <c r="AD446" s="13"/>
      <c r="AE446" s="13"/>
    </row>
    <row r="447" spans="2:31" x14ac:dyDescent="0.3">
      <c r="B447" s="41">
        <f t="shared" si="42"/>
        <v>205000</v>
      </c>
      <c r="C447" s="1">
        <f>Table1[[#This Row],[taxable wages]]</f>
        <v>205000</v>
      </c>
      <c r="D447" s="1">
        <f>Table1[[#This Row],[taxable wages]]+interest+dividends+short_term_capital_gains+long_term_capital_gains</f>
        <v>205000</v>
      </c>
      <c r="E447" s="1">
        <f>MAX(Table1[[#This Row],[earned income for EITC]:[Agi For Eitc Calc]])</f>
        <v>205000</v>
      </c>
      <c r="F447" s="1">
        <f>Table1[[#This Row],[taxable wages]]+interest+dividends+short_term_capital_gains+long_term_capital_gains-(trad_ira_contributions+MIN(student_loan_interest_cap,student_loan_interest))</f>
        <v>205000</v>
      </c>
      <c r="G447" s="1">
        <f t="shared" si="38"/>
        <v>12600</v>
      </c>
      <c r="H447" s="1">
        <f t="shared" si="39"/>
        <v>28350</v>
      </c>
      <c r="I447" s="1">
        <f>MAX(0,Table1[[#This Row],[Agi]]-Table1[[#This Row],[Exemptions]]-Table1[[#This Row],[Effective Deductions]])</f>
        <v>164050</v>
      </c>
      <c r="J4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32919.5</v>
      </c>
      <c r="K447" s="1">
        <f t="shared" si="40"/>
        <v>5000</v>
      </c>
      <c r="L447" s="1">
        <f>IF(Table1[[#This Row],[Agi]]&gt;ctc_phase_out_begins,ctc_phase_out_rate*(Table1[[#This Row],[Agi]]-ctc_phase_out_begins),0)</f>
        <v>4750</v>
      </c>
      <c r="M447" s="1">
        <f>MAX(Table1[[#This Row],[Child Tax Credit]]-Table1[[#This Row],[Child Tax Credit Phase Out]],0)</f>
        <v>250</v>
      </c>
      <c r="N447" s="1">
        <f>MAX(Table1[[#This Row],[Regular Taxes Owed]]-Table1[[#This Row],[Effective Child Tax Credit]],0)</f>
        <v>32669.5</v>
      </c>
      <c r="O447" s="1">
        <f>MAX(MIN((Table1[[#This Row],[taxable wages]]-3000)*0.15,1000*num_kids_16_younger),0)</f>
        <v>5000</v>
      </c>
      <c r="P447" s="9">
        <f>IF(Table1[[#This Row],[Effective Child Tax Credit]]&gt;Table1[[#This Row],[Regular Taxes Owed]],Table1[[#This Row],[Additional Child Tax Credit ]]-Table1[[#This Row],[Regular Taxes Owed]],0)</f>
        <v>0</v>
      </c>
      <c r="Q4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7" s="1">
        <f>Table1[[#This Row],[Effective Additional Child Tax Credit]]+Table1[[#This Row],[Eitc]]</f>
        <v>0</v>
      </c>
      <c r="S447" s="9">
        <f>Table1[[#This Row],[Regular Taxes Owed - Effective Child Tax Credit]]-Table1[[#This Row],[Total Credits]]</f>
        <v>32669.5</v>
      </c>
      <c r="T447" s="9">
        <f>Table1[[#This Row],[taxable wages]]+interest+dividends+short_term_capital_gains+long_term_capital_gains-(charitable_donations+mortgage_interest)</f>
        <v>205000</v>
      </c>
      <c r="U447" s="9">
        <f>MAX(amt_exemption-amt_exemption_phase_out_rate*MAX(Table1[[#This Row],[taxable wages]]-amt_phase_out_begins,0),0)</f>
        <v>72475</v>
      </c>
      <c r="V4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34456.5</v>
      </c>
      <c r="W447" s="1">
        <f>IF(AND(Table1[[#This Row],[AMT Taxes]]&gt;Table1[[#This Row],[Regular Taxes Owed]],Table1[[#This Row],[AMT Taxes]]&gt;0),Table1[[#This Row],[AMT Taxes]]-Table1[[#This Row],[Regular Taxes Owed]],0)</f>
        <v>1537</v>
      </c>
      <c r="X447" s="9">
        <f>Table1[[#This Row],[Extra Taxes From Amt]]+Table1[[#This Row],[Federal Taxes Owed (No AMT)]]</f>
        <v>34206.5</v>
      </c>
      <c r="Y447" s="9">
        <f>IF(Table1[[#This Row],[taxable wages]]&gt;obamacare_surcharge_amount,obamacare_surcharge_percent*(Table1[[#This Row],[taxable wages]]-obamacare_surcharge_amount),0)</f>
        <v>0</v>
      </c>
      <c r="Z447" s="9">
        <f>Table1[[#This Row],[Federal Taxes Owed (Includes AMT)]]+Table1[[#This Row],[Obamacare surcharge premium]]</f>
        <v>34206.5</v>
      </c>
      <c r="AA447" s="9">
        <f>Table1[[#This Row],[taxable wages]]-Table1[[#This Row],[Federal Taxes Owed2]]</f>
        <v>170793.5</v>
      </c>
      <c r="AB447" s="51">
        <f t="shared" si="41"/>
        <v>0.375</v>
      </c>
      <c r="AC447" s="41"/>
      <c r="AD447" s="13"/>
      <c r="AE447" s="13"/>
    </row>
    <row r="448" spans="2:31" x14ac:dyDescent="0.3">
      <c r="B448" s="41">
        <f t="shared" si="42"/>
        <v>205500</v>
      </c>
      <c r="C448" s="1">
        <f>Table1[[#This Row],[taxable wages]]</f>
        <v>205500</v>
      </c>
      <c r="D448" s="1">
        <f>Table1[[#This Row],[taxable wages]]+interest+dividends+short_term_capital_gains+long_term_capital_gains</f>
        <v>205500</v>
      </c>
      <c r="E448" s="1">
        <f>MAX(Table1[[#This Row],[earned income for EITC]:[Agi For Eitc Calc]])</f>
        <v>205500</v>
      </c>
      <c r="F448" s="1">
        <f>Table1[[#This Row],[taxable wages]]+interest+dividends+short_term_capital_gains+long_term_capital_gains-(trad_ira_contributions+MIN(student_loan_interest_cap,student_loan_interest))</f>
        <v>205500</v>
      </c>
      <c r="G448" s="1">
        <f t="shared" si="38"/>
        <v>12600</v>
      </c>
      <c r="H448" s="1">
        <f t="shared" si="39"/>
        <v>28350</v>
      </c>
      <c r="I448" s="1">
        <f>MAX(0,Table1[[#This Row],[Agi]]-Table1[[#This Row],[Exemptions]]-Table1[[#This Row],[Effective Deductions]])</f>
        <v>164550</v>
      </c>
      <c r="J4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33059.5</v>
      </c>
      <c r="K448" s="1">
        <f t="shared" si="40"/>
        <v>5000</v>
      </c>
      <c r="L448" s="1">
        <f>IF(Table1[[#This Row],[Agi]]&gt;ctc_phase_out_begins,ctc_phase_out_rate*(Table1[[#This Row],[Agi]]-ctc_phase_out_begins),0)</f>
        <v>4775</v>
      </c>
      <c r="M448" s="1">
        <f>MAX(Table1[[#This Row],[Child Tax Credit]]-Table1[[#This Row],[Child Tax Credit Phase Out]],0)</f>
        <v>225</v>
      </c>
      <c r="N448" s="1">
        <f>MAX(Table1[[#This Row],[Regular Taxes Owed]]-Table1[[#This Row],[Effective Child Tax Credit]],0)</f>
        <v>32834.5</v>
      </c>
      <c r="O448" s="1">
        <f>MAX(MIN((Table1[[#This Row],[taxable wages]]-3000)*0.15,1000*num_kids_16_younger),0)</f>
        <v>5000</v>
      </c>
      <c r="P448" s="9">
        <f>IF(Table1[[#This Row],[Effective Child Tax Credit]]&gt;Table1[[#This Row],[Regular Taxes Owed]],Table1[[#This Row],[Additional Child Tax Credit ]]-Table1[[#This Row],[Regular Taxes Owed]],0)</f>
        <v>0</v>
      </c>
      <c r="Q4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8" s="1">
        <f>Table1[[#This Row],[Effective Additional Child Tax Credit]]+Table1[[#This Row],[Eitc]]</f>
        <v>0</v>
      </c>
      <c r="S448" s="9">
        <f>Table1[[#This Row],[Regular Taxes Owed - Effective Child Tax Credit]]-Table1[[#This Row],[Total Credits]]</f>
        <v>32834.5</v>
      </c>
      <c r="T448" s="9">
        <f>Table1[[#This Row],[taxable wages]]+interest+dividends+short_term_capital_gains+long_term_capital_gains-(charitable_donations+mortgage_interest)</f>
        <v>205500</v>
      </c>
      <c r="U448" s="9">
        <f>MAX(amt_exemption-amt_exemption_phase_out_rate*MAX(Table1[[#This Row],[taxable wages]]-amt_phase_out_begins,0),0)</f>
        <v>72350</v>
      </c>
      <c r="V4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34619</v>
      </c>
      <c r="W448" s="1">
        <f>IF(AND(Table1[[#This Row],[AMT Taxes]]&gt;Table1[[#This Row],[Regular Taxes Owed]],Table1[[#This Row],[AMT Taxes]]&gt;0),Table1[[#This Row],[AMT Taxes]]-Table1[[#This Row],[Regular Taxes Owed]],0)</f>
        <v>1559.5</v>
      </c>
      <c r="X448" s="9">
        <f>Table1[[#This Row],[Extra Taxes From Amt]]+Table1[[#This Row],[Federal Taxes Owed (No AMT)]]</f>
        <v>34394</v>
      </c>
      <c r="Y448" s="9">
        <f>IF(Table1[[#This Row],[taxable wages]]&gt;obamacare_surcharge_amount,obamacare_surcharge_percent*(Table1[[#This Row],[taxable wages]]-obamacare_surcharge_amount),0)</f>
        <v>0</v>
      </c>
      <c r="Z448" s="9">
        <f>Table1[[#This Row],[Federal Taxes Owed (Includes AMT)]]+Table1[[#This Row],[Obamacare surcharge premium]]</f>
        <v>34394</v>
      </c>
      <c r="AA448" s="9">
        <f>Table1[[#This Row],[taxable wages]]-Table1[[#This Row],[Federal Taxes Owed2]]</f>
        <v>171106</v>
      </c>
      <c r="AB448" s="51">
        <f t="shared" si="41"/>
        <v>0.375</v>
      </c>
      <c r="AC448" s="41"/>
      <c r="AD448" s="13"/>
      <c r="AE448" s="13"/>
    </row>
    <row r="449" spans="2:31" x14ac:dyDescent="0.3">
      <c r="B449" s="41">
        <f t="shared" si="42"/>
        <v>206000</v>
      </c>
      <c r="C449" s="1">
        <f>Table1[[#This Row],[taxable wages]]</f>
        <v>206000</v>
      </c>
      <c r="D449" s="1">
        <f>Table1[[#This Row],[taxable wages]]+interest+dividends+short_term_capital_gains+long_term_capital_gains</f>
        <v>206000</v>
      </c>
      <c r="E449" s="1">
        <f>MAX(Table1[[#This Row],[earned income for EITC]:[Agi For Eitc Calc]])</f>
        <v>206000</v>
      </c>
      <c r="F449" s="1">
        <f>Table1[[#This Row],[taxable wages]]+interest+dividends+short_term_capital_gains+long_term_capital_gains-(trad_ira_contributions+MIN(student_loan_interest_cap,student_loan_interest))</f>
        <v>206000</v>
      </c>
      <c r="G449" s="1">
        <f t="shared" si="38"/>
        <v>12600</v>
      </c>
      <c r="H449" s="1">
        <f t="shared" si="39"/>
        <v>28350</v>
      </c>
      <c r="I449" s="1">
        <f>MAX(0,Table1[[#This Row],[Agi]]-Table1[[#This Row],[Exemptions]]-Table1[[#This Row],[Effective Deductions]])</f>
        <v>165050</v>
      </c>
      <c r="J4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33199.5</v>
      </c>
      <c r="K449" s="1">
        <f t="shared" si="40"/>
        <v>5000</v>
      </c>
      <c r="L449" s="1">
        <f>IF(Table1[[#This Row],[Agi]]&gt;ctc_phase_out_begins,ctc_phase_out_rate*(Table1[[#This Row],[Agi]]-ctc_phase_out_begins),0)</f>
        <v>4800</v>
      </c>
      <c r="M449" s="1">
        <f>MAX(Table1[[#This Row],[Child Tax Credit]]-Table1[[#This Row],[Child Tax Credit Phase Out]],0)</f>
        <v>200</v>
      </c>
      <c r="N449" s="1">
        <f>MAX(Table1[[#This Row],[Regular Taxes Owed]]-Table1[[#This Row],[Effective Child Tax Credit]],0)</f>
        <v>32999.5</v>
      </c>
      <c r="O449" s="1">
        <f>MAX(MIN((Table1[[#This Row],[taxable wages]]-3000)*0.15,1000*num_kids_16_younger),0)</f>
        <v>5000</v>
      </c>
      <c r="P449" s="9">
        <f>IF(Table1[[#This Row],[Effective Child Tax Credit]]&gt;Table1[[#This Row],[Regular Taxes Owed]],Table1[[#This Row],[Additional Child Tax Credit ]]-Table1[[#This Row],[Regular Taxes Owed]],0)</f>
        <v>0</v>
      </c>
      <c r="Q4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49" s="1">
        <f>Table1[[#This Row],[Effective Additional Child Tax Credit]]+Table1[[#This Row],[Eitc]]</f>
        <v>0</v>
      </c>
      <c r="S449" s="9">
        <f>Table1[[#This Row],[Regular Taxes Owed - Effective Child Tax Credit]]-Table1[[#This Row],[Total Credits]]</f>
        <v>32999.5</v>
      </c>
      <c r="T449" s="9">
        <f>Table1[[#This Row],[taxable wages]]+interest+dividends+short_term_capital_gains+long_term_capital_gains-(charitable_donations+mortgage_interest)</f>
        <v>206000</v>
      </c>
      <c r="U449" s="9">
        <f>MAX(amt_exemption-amt_exemption_phase_out_rate*MAX(Table1[[#This Row],[taxable wages]]-amt_phase_out_begins,0),0)</f>
        <v>72225</v>
      </c>
      <c r="V4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34781.5</v>
      </c>
      <c r="W449" s="1">
        <f>IF(AND(Table1[[#This Row],[AMT Taxes]]&gt;Table1[[#This Row],[Regular Taxes Owed]],Table1[[#This Row],[AMT Taxes]]&gt;0),Table1[[#This Row],[AMT Taxes]]-Table1[[#This Row],[Regular Taxes Owed]],0)</f>
        <v>1582</v>
      </c>
      <c r="X449" s="9">
        <f>Table1[[#This Row],[Extra Taxes From Amt]]+Table1[[#This Row],[Federal Taxes Owed (No AMT)]]</f>
        <v>34581.5</v>
      </c>
      <c r="Y449" s="9">
        <f>IF(Table1[[#This Row],[taxable wages]]&gt;obamacare_surcharge_amount,obamacare_surcharge_percent*(Table1[[#This Row],[taxable wages]]-obamacare_surcharge_amount),0)</f>
        <v>0</v>
      </c>
      <c r="Z449" s="9">
        <f>Table1[[#This Row],[Federal Taxes Owed (Includes AMT)]]+Table1[[#This Row],[Obamacare surcharge premium]]</f>
        <v>34581.5</v>
      </c>
      <c r="AA449" s="9">
        <f>Table1[[#This Row],[taxable wages]]-Table1[[#This Row],[Federal Taxes Owed2]]</f>
        <v>171418.5</v>
      </c>
      <c r="AB449" s="51">
        <f t="shared" si="41"/>
        <v>0.375</v>
      </c>
      <c r="AC449" s="41"/>
      <c r="AD449" s="13"/>
      <c r="AE449" s="13"/>
    </row>
    <row r="450" spans="2:31" x14ac:dyDescent="0.3">
      <c r="B450" s="41">
        <f t="shared" si="42"/>
        <v>206500</v>
      </c>
      <c r="C450" s="1">
        <f>Table1[[#This Row],[taxable wages]]</f>
        <v>206500</v>
      </c>
      <c r="D450" s="1">
        <f>Table1[[#This Row],[taxable wages]]+interest+dividends+short_term_capital_gains+long_term_capital_gains</f>
        <v>206500</v>
      </c>
      <c r="E450" s="1">
        <f>MAX(Table1[[#This Row],[earned income for EITC]:[Agi For Eitc Calc]])</f>
        <v>206500</v>
      </c>
      <c r="F450" s="1">
        <f>Table1[[#This Row],[taxable wages]]+interest+dividends+short_term_capital_gains+long_term_capital_gains-(trad_ira_contributions+MIN(student_loan_interest_cap,student_loan_interest))</f>
        <v>206500</v>
      </c>
      <c r="G450" s="1">
        <f t="shared" si="38"/>
        <v>12600</v>
      </c>
      <c r="H450" s="1">
        <f t="shared" si="39"/>
        <v>28350</v>
      </c>
      <c r="I450" s="1">
        <f>MAX(0,Table1[[#This Row],[Agi]]-Table1[[#This Row],[Exemptions]]-Table1[[#This Row],[Effective Deductions]])</f>
        <v>165550</v>
      </c>
      <c r="J4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33339.5</v>
      </c>
      <c r="K450" s="1">
        <f t="shared" si="40"/>
        <v>5000</v>
      </c>
      <c r="L450" s="1">
        <f>IF(Table1[[#This Row],[Agi]]&gt;ctc_phase_out_begins,ctc_phase_out_rate*(Table1[[#This Row],[Agi]]-ctc_phase_out_begins),0)</f>
        <v>4825</v>
      </c>
      <c r="M450" s="1">
        <f>MAX(Table1[[#This Row],[Child Tax Credit]]-Table1[[#This Row],[Child Tax Credit Phase Out]],0)</f>
        <v>175</v>
      </c>
      <c r="N450" s="1">
        <f>MAX(Table1[[#This Row],[Regular Taxes Owed]]-Table1[[#This Row],[Effective Child Tax Credit]],0)</f>
        <v>33164.5</v>
      </c>
      <c r="O450" s="1">
        <f>MAX(MIN((Table1[[#This Row],[taxable wages]]-3000)*0.15,1000*num_kids_16_younger),0)</f>
        <v>5000</v>
      </c>
      <c r="P450" s="9">
        <f>IF(Table1[[#This Row],[Effective Child Tax Credit]]&gt;Table1[[#This Row],[Regular Taxes Owed]],Table1[[#This Row],[Additional Child Tax Credit ]]-Table1[[#This Row],[Regular Taxes Owed]],0)</f>
        <v>0</v>
      </c>
      <c r="Q4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0" s="1">
        <f>Table1[[#This Row],[Effective Additional Child Tax Credit]]+Table1[[#This Row],[Eitc]]</f>
        <v>0</v>
      </c>
      <c r="S450" s="9">
        <f>Table1[[#This Row],[Regular Taxes Owed - Effective Child Tax Credit]]-Table1[[#This Row],[Total Credits]]</f>
        <v>33164.5</v>
      </c>
      <c r="T450" s="9">
        <f>Table1[[#This Row],[taxable wages]]+interest+dividends+short_term_capital_gains+long_term_capital_gains-(charitable_donations+mortgage_interest)</f>
        <v>206500</v>
      </c>
      <c r="U450" s="9">
        <f>MAX(amt_exemption-amt_exemption_phase_out_rate*MAX(Table1[[#This Row],[taxable wages]]-amt_phase_out_begins,0),0)</f>
        <v>72100</v>
      </c>
      <c r="V4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34944</v>
      </c>
      <c r="W450" s="1">
        <f>IF(AND(Table1[[#This Row],[AMT Taxes]]&gt;Table1[[#This Row],[Regular Taxes Owed]],Table1[[#This Row],[AMT Taxes]]&gt;0),Table1[[#This Row],[AMT Taxes]]-Table1[[#This Row],[Regular Taxes Owed]],0)</f>
        <v>1604.5</v>
      </c>
      <c r="X450" s="9">
        <f>Table1[[#This Row],[Extra Taxes From Amt]]+Table1[[#This Row],[Federal Taxes Owed (No AMT)]]</f>
        <v>34769</v>
      </c>
      <c r="Y450" s="9">
        <f>IF(Table1[[#This Row],[taxable wages]]&gt;obamacare_surcharge_amount,obamacare_surcharge_percent*(Table1[[#This Row],[taxable wages]]-obamacare_surcharge_amount),0)</f>
        <v>0</v>
      </c>
      <c r="Z450" s="9">
        <f>Table1[[#This Row],[Federal Taxes Owed (Includes AMT)]]+Table1[[#This Row],[Obamacare surcharge premium]]</f>
        <v>34769</v>
      </c>
      <c r="AA450" s="9">
        <f>Table1[[#This Row],[taxable wages]]-Table1[[#This Row],[Federal Taxes Owed2]]</f>
        <v>171731</v>
      </c>
      <c r="AB450" s="51">
        <f t="shared" si="41"/>
        <v>0.375</v>
      </c>
      <c r="AC450" s="41"/>
      <c r="AD450" s="13"/>
      <c r="AE450" s="13"/>
    </row>
    <row r="451" spans="2:31" x14ac:dyDescent="0.3">
      <c r="B451" s="41">
        <f t="shared" si="42"/>
        <v>207000</v>
      </c>
      <c r="C451" s="1">
        <f>Table1[[#This Row],[taxable wages]]</f>
        <v>207000</v>
      </c>
      <c r="D451" s="1">
        <f>Table1[[#This Row],[taxable wages]]+interest+dividends+short_term_capital_gains+long_term_capital_gains</f>
        <v>207000</v>
      </c>
      <c r="E451" s="1">
        <f>MAX(Table1[[#This Row],[earned income for EITC]:[Agi For Eitc Calc]])</f>
        <v>207000</v>
      </c>
      <c r="F451" s="1">
        <f>Table1[[#This Row],[taxable wages]]+interest+dividends+short_term_capital_gains+long_term_capital_gains-(trad_ira_contributions+MIN(student_loan_interest_cap,student_loan_interest))</f>
        <v>207000</v>
      </c>
      <c r="G451" s="1">
        <f t="shared" si="38"/>
        <v>12600</v>
      </c>
      <c r="H451" s="1">
        <f t="shared" si="39"/>
        <v>28350</v>
      </c>
      <c r="I451" s="1">
        <f>MAX(0,Table1[[#This Row],[Agi]]-Table1[[#This Row],[Exemptions]]-Table1[[#This Row],[Effective Deductions]])</f>
        <v>166050</v>
      </c>
      <c r="J4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33479.5</v>
      </c>
      <c r="K451" s="1">
        <f t="shared" si="40"/>
        <v>5000</v>
      </c>
      <c r="L451" s="1">
        <f>IF(Table1[[#This Row],[Agi]]&gt;ctc_phase_out_begins,ctc_phase_out_rate*(Table1[[#This Row],[Agi]]-ctc_phase_out_begins),0)</f>
        <v>4850</v>
      </c>
      <c r="M451" s="1">
        <f>MAX(Table1[[#This Row],[Child Tax Credit]]-Table1[[#This Row],[Child Tax Credit Phase Out]],0)</f>
        <v>150</v>
      </c>
      <c r="N451" s="1">
        <f>MAX(Table1[[#This Row],[Regular Taxes Owed]]-Table1[[#This Row],[Effective Child Tax Credit]],0)</f>
        <v>33329.5</v>
      </c>
      <c r="O451" s="1">
        <f>MAX(MIN((Table1[[#This Row],[taxable wages]]-3000)*0.15,1000*num_kids_16_younger),0)</f>
        <v>5000</v>
      </c>
      <c r="P451" s="9">
        <f>IF(Table1[[#This Row],[Effective Child Tax Credit]]&gt;Table1[[#This Row],[Regular Taxes Owed]],Table1[[#This Row],[Additional Child Tax Credit ]]-Table1[[#This Row],[Regular Taxes Owed]],0)</f>
        <v>0</v>
      </c>
      <c r="Q4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1" s="1">
        <f>Table1[[#This Row],[Effective Additional Child Tax Credit]]+Table1[[#This Row],[Eitc]]</f>
        <v>0</v>
      </c>
      <c r="S451" s="9">
        <f>Table1[[#This Row],[Regular Taxes Owed - Effective Child Tax Credit]]-Table1[[#This Row],[Total Credits]]</f>
        <v>33329.5</v>
      </c>
      <c r="T451" s="9">
        <f>Table1[[#This Row],[taxable wages]]+interest+dividends+short_term_capital_gains+long_term_capital_gains-(charitable_donations+mortgage_interest)</f>
        <v>207000</v>
      </c>
      <c r="U451" s="9">
        <f>MAX(amt_exemption-amt_exemption_phase_out_rate*MAX(Table1[[#This Row],[taxable wages]]-amt_phase_out_begins,0),0)</f>
        <v>71975</v>
      </c>
      <c r="V4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35106.5</v>
      </c>
      <c r="W451" s="1">
        <f>IF(AND(Table1[[#This Row],[AMT Taxes]]&gt;Table1[[#This Row],[Regular Taxes Owed]],Table1[[#This Row],[AMT Taxes]]&gt;0),Table1[[#This Row],[AMT Taxes]]-Table1[[#This Row],[Regular Taxes Owed]],0)</f>
        <v>1627</v>
      </c>
      <c r="X451" s="9">
        <f>Table1[[#This Row],[Extra Taxes From Amt]]+Table1[[#This Row],[Federal Taxes Owed (No AMT)]]</f>
        <v>34956.5</v>
      </c>
      <c r="Y451" s="9">
        <f>IF(Table1[[#This Row],[taxable wages]]&gt;obamacare_surcharge_amount,obamacare_surcharge_percent*(Table1[[#This Row],[taxable wages]]-obamacare_surcharge_amount),0)</f>
        <v>0</v>
      </c>
      <c r="Z451" s="9">
        <f>Table1[[#This Row],[Federal Taxes Owed (Includes AMT)]]+Table1[[#This Row],[Obamacare surcharge premium]]</f>
        <v>34956.5</v>
      </c>
      <c r="AA451" s="9">
        <f>Table1[[#This Row],[taxable wages]]-Table1[[#This Row],[Federal Taxes Owed2]]</f>
        <v>172043.5</v>
      </c>
      <c r="AB451" s="51">
        <f t="shared" si="41"/>
        <v>0.375</v>
      </c>
      <c r="AC451" s="41"/>
      <c r="AD451" s="13"/>
      <c r="AE451" s="13"/>
    </row>
    <row r="452" spans="2:31" x14ac:dyDescent="0.3">
      <c r="B452" s="41">
        <f t="shared" si="42"/>
        <v>207500</v>
      </c>
      <c r="C452" s="1">
        <f>Table1[[#This Row],[taxable wages]]</f>
        <v>207500</v>
      </c>
      <c r="D452" s="1">
        <f>Table1[[#This Row],[taxable wages]]+interest+dividends+short_term_capital_gains+long_term_capital_gains</f>
        <v>207500</v>
      </c>
      <c r="E452" s="1">
        <f>MAX(Table1[[#This Row],[earned income for EITC]:[Agi For Eitc Calc]])</f>
        <v>207500</v>
      </c>
      <c r="F452" s="1">
        <f>Table1[[#This Row],[taxable wages]]+interest+dividends+short_term_capital_gains+long_term_capital_gains-(trad_ira_contributions+MIN(student_loan_interest_cap,student_loan_interest))</f>
        <v>207500</v>
      </c>
      <c r="G452" s="1">
        <f t="shared" si="38"/>
        <v>12600</v>
      </c>
      <c r="H452" s="1">
        <f t="shared" si="39"/>
        <v>28350</v>
      </c>
      <c r="I452" s="1">
        <f>MAX(0,Table1[[#This Row],[Agi]]-Table1[[#This Row],[Exemptions]]-Table1[[#This Row],[Effective Deductions]])</f>
        <v>166550</v>
      </c>
      <c r="J4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33619.5</v>
      </c>
      <c r="K452" s="1">
        <f t="shared" si="40"/>
        <v>5000</v>
      </c>
      <c r="L452" s="1">
        <f>IF(Table1[[#This Row],[Agi]]&gt;ctc_phase_out_begins,ctc_phase_out_rate*(Table1[[#This Row],[Agi]]-ctc_phase_out_begins),0)</f>
        <v>4875</v>
      </c>
      <c r="M452" s="1">
        <f>MAX(Table1[[#This Row],[Child Tax Credit]]-Table1[[#This Row],[Child Tax Credit Phase Out]],0)</f>
        <v>125</v>
      </c>
      <c r="N452" s="1">
        <f>MAX(Table1[[#This Row],[Regular Taxes Owed]]-Table1[[#This Row],[Effective Child Tax Credit]],0)</f>
        <v>33494.5</v>
      </c>
      <c r="O452" s="1">
        <f>MAX(MIN((Table1[[#This Row],[taxable wages]]-3000)*0.15,1000*num_kids_16_younger),0)</f>
        <v>5000</v>
      </c>
      <c r="P452" s="9">
        <f>IF(Table1[[#This Row],[Effective Child Tax Credit]]&gt;Table1[[#This Row],[Regular Taxes Owed]],Table1[[#This Row],[Additional Child Tax Credit ]]-Table1[[#This Row],[Regular Taxes Owed]],0)</f>
        <v>0</v>
      </c>
      <c r="Q4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2" s="1">
        <f>Table1[[#This Row],[Effective Additional Child Tax Credit]]+Table1[[#This Row],[Eitc]]</f>
        <v>0</v>
      </c>
      <c r="S452" s="9">
        <f>Table1[[#This Row],[Regular Taxes Owed - Effective Child Tax Credit]]-Table1[[#This Row],[Total Credits]]</f>
        <v>33494.5</v>
      </c>
      <c r="T452" s="9">
        <f>Table1[[#This Row],[taxable wages]]+interest+dividends+short_term_capital_gains+long_term_capital_gains-(charitable_donations+mortgage_interest)</f>
        <v>207500</v>
      </c>
      <c r="U452" s="9">
        <f>MAX(amt_exemption-amt_exemption_phase_out_rate*MAX(Table1[[#This Row],[taxable wages]]-amt_phase_out_begins,0),0)</f>
        <v>71850</v>
      </c>
      <c r="V4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35269</v>
      </c>
      <c r="W452" s="1">
        <f>IF(AND(Table1[[#This Row],[AMT Taxes]]&gt;Table1[[#This Row],[Regular Taxes Owed]],Table1[[#This Row],[AMT Taxes]]&gt;0),Table1[[#This Row],[AMT Taxes]]-Table1[[#This Row],[Regular Taxes Owed]],0)</f>
        <v>1649.5</v>
      </c>
      <c r="X452" s="9">
        <f>Table1[[#This Row],[Extra Taxes From Amt]]+Table1[[#This Row],[Federal Taxes Owed (No AMT)]]</f>
        <v>35144</v>
      </c>
      <c r="Y452" s="9">
        <f>IF(Table1[[#This Row],[taxable wages]]&gt;obamacare_surcharge_amount,obamacare_surcharge_percent*(Table1[[#This Row],[taxable wages]]-obamacare_surcharge_amount),0)</f>
        <v>0</v>
      </c>
      <c r="Z452" s="9">
        <f>Table1[[#This Row],[Federal Taxes Owed (Includes AMT)]]+Table1[[#This Row],[Obamacare surcharge premium]]</f>
        <v>35144</v>
      </c>
      <c r="AA452" s="9">
        <f>Table1[[#This Row],[taxable wages]]-Table1[[#This Row],[Federal Taxes Owed2]]</f>
        <v>172356</v>
      </c>
      <c r="AB452" s="51">
        <f t="shared" si="41"/>
        <v>0.375</v>
      </c>
      <c r="AC452" s="41"/>
      <c r="AD452" s="13"/>
      <c r="AE452" s="13"/>
    </row>
    <row r="453" spans="2:31" x14ac:dyDescent="0.3">
      <c r="B453" s="41">
        <f t="shared" si="42"/>
        <v>208000</v>
      </c>
      <c r="C453" s="1">
        <f>Table1[[#This Row],[taxable wages]]</f>
        <v>208000</v>
      </c>
      <c r="D453" s="1">
        <f>Table1[[#This Row],[taxable wages]]+interest+dividends+short_term_capital_gains+long_term_capital_gains</f>
        <v>208000</v>
      </c>
      <c r="E453" s="1">
        <f>MAX(Table1[[#This Row],[earned income for EITC]:[Agi For Eitc Calc]])</f>
        <v>208000</v>
      </c>
      <c r="F453" s="1">
        <f>Table1[[#This Row],[taxable wages]]+interest+dividends+short_term_capital_gains+long_term_capital_gains-(trad_ira_contributions+MIN(student_loan_interest_cap,student_loan_interest))</f>
        <v>208000</v>
      </c>
      <c r="G453" s="1">
        <f t="shared" si="38"/>
        <v>12600</v>
      </c>
      <c r="H453" s="1">
        <f t="shared" si="39"/>
        <v>28350</v>
      </c>
      <c r="I453" s="1">
        <f>MAX(0,Table1[[#This Row],[Agi]]-Table1[[#This Row],[Exemptions]]-Table1[[#This Row],[Effective Deductions]])</f>
        <v>167050</v>
      </c>
      <c r="J4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33759.5</v>
      </c>
      <c r="K453" s="1">
        <f t="shared" si="40"/>
        <v>5000</v>
      </c>
      <c r="L453" s="1">
        <f>IF(Table1[[#This Row],[Agi]]&gt;ctc_phase_out_begins,ctc_phase_out_rate*(Table1[[#This Row],[Agi]]-ctc_phase_out_begins),0)</f>
        <v>4900</v>
      </c>
      <c r="M453" s="1">
        <f>MAX(Table1[[#This Row],[Child Tax Credit]]-Table1[[#This Row],[Child Tax Credit Phase Out]],0)</f>
        <v>100</v>
      </c>
      <c r="N453" s="1">
        <f>MAX(Table1[[#This Row],[Regular Taxes Owed]]-Table1[[#This Row],[Effective Child Tax Credit]],0)</f>
        <v>33659.5</v>
      </c>
      <c r="O453" s="1">
        <f>MAX(MIN((Table1[[#This Row],[taxable wages]]-3000)*0.15,1000*num_kids_16_younger),0)</f>
        <v>5000</v>
      </c>
      <c r="P453" s="9">
        <f>IF(Table1[[#This Row],[Effective Child Tax Credit]]&gt;Table1[[#This Row],[Regular Taxes Owed]],Table1[[#This Row],[Additional Child Tax Credit ]]-Table1[[#This Row],[Regular Taxes Owed]],0)</f>
        <v>0</v>
      </c>
      <c r="Q4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3" s="1">
        <f>Table1[[#This Row],[Effective Additional Child Tax Credit]]+Table1[[#This Row],[Eitc]]</f>
        <v>0</v>
      </c>
      <c r="S453" s="9">
        <f>Table1[[#This Row],[Regular Taxes Owed - Effective Child Tax Credit]]-Table1[[#This Row],[Total Credits]]</f>
        <v>33659.5</v>
      </c>
      <c r="T453" s="9">
        <f>Table1[[#This Row],[taxable wages]]+interest+dividends+short_term_capital_gains+long_term_capital_gains-(charitable_donations+mortgage_interest)</f>
        <v>208000</v>
      </c>
      <c r="U453" s="9">
        <f>MAX(amt_exemption-amt_exemption_phase_out_rate*MAX(Table1[[#This Row],[taxable wages]]-amt_phase_out_begins,0),0)</f>
        <v>71725</v>
      </c>
      <c r="V4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35431.5</v>
      </c>
      <c r="W453" s="1">
        <f>IF(AND(Table1[[#This Row],[AMT Taxes]]&gt;Table1[[#This Row],[Regular Taxes Owed]],Table1[[#This Row],[AMT Taxes]]&gt;0),Table1[[#This Row],[AMT Taxes]]-Table1[[#This Row],[Regular Taxes Owed]],0)</f>
        <v>1672</v>
      </c>
      <c r="X453" s="9">
        <f>Table1[[#This Row],[Extra Taxes From Amt]]+Table1[[#This Row],[Federal Taxes Owed (No AMT)]]</f>
        <v>35331.5</v>
      </c>
      <c r="Y453" s="9">
        <f>IF(Table1[[#This Row],[taxable wages]]&gt;obamacare_surcharge_amount,obamacare_surcharge_percent*(Table1[[#This Row],[taxable wages]]-obamacare_surcharge_amount),0)</f>
        <v>0</v>
      </c>
      <c r="Z453" s="9">
        <f>Table1[[#This Row],[Federal Taxes Owed (Includes AMT)]]+Table1[[#This Row],[Obamacare surcharge premium]]</f>
        <v>35331.5</v>
      </c>
      <c r="AA453" s="9">
        <f>Table1[[#This Row],[taxable wages]]-Table1[[#This Row],[Federal Taxes Owed2]]</f>
        <v>172668.5</v>
      </c>
      <c r="AB453" s="51">
        <f t="shared" si="41"/>
        <v>0.375</v>
      </c>
      <c r="AC453" s="41"/>
      <c r="AD453" s="13"/>
      <c r="AE453" s="13"/>
    </row>
    <row r="454" spans="2:31" x14ac:dyDescent="0.3">
      <c r="B454" s="41">
        <f t="shared" si="42"/>
        <v>208500</v>
      </c>
      <c r="C454" s="1">
        <f>Table1[[#This Row],[taxable wages]]</f>
        <v>208500</v>
      </c>
      <c r="D454" s="1">
        <f>Table1[[#This Row],[taxable wages]]+interest+dividends+short_term_capital_gains+long_term_capital_gains</f>
        <v>208500</v>
      </c>
      <c r="E454" s="1">
        <f>MAX(Table1[[#This Row],[earned income for EITC]:[Agi For Eitc Calc]])</f>
        <v>208500</v>
      </c>
      <c r="F454" s="1">
        <f>Table1[[#This Row],[taxable wages]]+interest+dividends+short_term_capital_gains+long_term_capital_gains-(trad_ira_contributions+MIN(student_loan_interest_cap,student_loan_interest))</f>
        <v>208500</v>
      </c>
      <c r="G454" s="1">
        <f t="shared" si="38"/>
        <v>12600</v>
      </c>
      <c r="H454" s="1">
        <f t="shared" si="39"/>
        <v>28350</v>
      </c>
      <c r="I454" s="1">
        <f>MAX(0,Table1[[#This Row],[Agi]]-Table1[[#This Row],[Exemptions]]-Table1[[#This Row],[Effective Deductions]])</f>
        <v>167550</v>
      </c>
      <c r="J4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33899.5</v>
      </c>
      <c r="K454" s="1">
        <f t="shared" si="40"/>
        <v>5000</v>
      </c>
      <c r="L454" s="1">
        <f>IF(Table1[[#This Row],[Agi]]&gt;ctc_phase_out_begins,ctc_phase_out_rate*(Table1[[#This Row],[Agi]]-ctc_phase_out_begins),0)</f>
        <v>4925</v>
      </c>
      <c r="M454" s="1">
        <f>MAX(Table1[[#This Row],[Child Tax Credit]]-Table1[[#This Row],[Child Tax Credit Phase Out]],0)</f>
        <v>75</v>
      </c>
      <c r="N454" s="1">
        <f>MAX(Table1[[#This Row],[Regular Taxes Owed]]-Table1[[#This Row],[Effective Child Tax Credit]],0)</f>
        <v>33824.5</v>
      </c>
      <c r="O454" s="1">
        <f>MAX(MIN((Table1[[#This Row],[taxable wages]]-3000)*0.15,1000*num_kids_16_younger),0)</f>
        <v>5000</v>
      </c>
      <c r="P454" s="9">
        <f>IF(Table1[[#This Row],[Effective Child Tax Credit]]&gt;Table1[[#This Row],[Regular Taxes Owed]],Table1[[#This Row],[Additional Child Tax Credit ]]-Table1[[#This Row],[Regular Taxes Owed]],0)</f>
        <v>0</v>
      </c>
      <c r="Q4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4" s="1">
        <f>Table1[[#This Row],[Effective Additional Child Tax Credit]]+Table1[[#This Row],[Eitc]]</f>
        <v>0</v>
      </c>
      <c r="S454" s="9">
        <f>Table1[[#This Row],[Regular Taxes Owed - Effective Child Tax Credit]]-Table1[[#This Row],[Total Credits]]</f>
        <v>33824.5</v>
      </c>
      <c r="T454" s="9">
        <f>Table1[[#This Row],[taxable wages]]+interest+dividends+short_term_capital_gains+long_term_capital_gains-(charitable_donations+mortgage_interest)</f>
        <v>208500</v>
      </c>
      <c r="U454" s="9">
        <f>MAX(amt_exemption-amt_exemption_phase_out_rate*MAX(Table1[[#This Row],[taxable wages]]-amt_phase_out_begins,0),0)</f>
        <v>71600</v>
      </c>
      <c r="V4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35594</v>
      </c>
      <c r="W454" s="1">
        <f>IF(AND(Table1[[#This Row],[AMT Taxes]]&gt;Table1[[#This Row],[Regular Taxes Owed]],Table1[[#This Row],[AMT Taxes]]&gt;0),Table1[[#This Row],[AMT Taxes]]-Table1[[#This Row],[Regular Taxes Owed]],0)</f>
        <v>1694.5</v>
      </c>
      <c r="X454" s="9">
        <f>Table1[[#This Row],[Extra Taxes From Amt]]+Table1[[#This Row],[Federal Taxes Owed (No AMT)]]</f>
        <v>35519</v>
      </c>
      <c r="Y454" s="9">
        <f>IF(Table1[[#This Row],[taxable wages]]&gt;obamacare_surcharge_amount,obamacare_surcharge_percent*(Table1[[#This Row],[taxable wages]]-obamacare_surcharge_amount),0)</f>
        <v>0</v>
      </c>
      <c r="Z454" s="9">
        <f>Table1[[#This Row],[Federal Taxes Owed (Includes AMT)]]+Table1[[#This Row],[Obamacare surcharge premium]]</f>
        <v>35519</v>
      </c>
      <c r="AA454" s="9">
        <f>Table1[[#This Row],[taxable wages]]-Table1[[#This Row],[Federal Taxes Owed2]]</f>
        <v>172981</v>
      </c>
      <c r="AB454" s="51">
        <f t="shared" si="41"/>
        <v>0.375</v>
      </c>
      <c r="AC454" s="41"/>
      <c r="AD454" s="13"/>
      <c r="AE454" s="13"/>
    </row>
    <row r="455" spans="2:31" x14ac:dyDescent="0.3">
      <c r="B455" s="41">
        <f t="shared" si="42"/>
        <v>209000</v>
      </c>
      <c r="C455" s="1">
        <f>Table1[[#This Row],[taxable wages]]</f>
        <v>209000</v>
      </c>
      <c r="D455" s="1">
        <f>Table1[[#This Row],[taxable wages]]+interest+dividends+short_term_capital_gains+long_term_capital_gains</f>
        <v>209000</v>
      </c>
      <c r="E455" s="1">
        <f>MAX(Table1[[#This Row],[earned income for EITC]:[Agi For Eitc Calc]])</f>
        <v>209000</v>
      </c>
      <c r="F455" s="1">
        <f>Table1[[#This Row],[taxable wages]]+interest+dividends+short_term_capital_gains+long_term_capital_gains-(trad_ira_contributions+MIN(student_loan_interest_cap,student_loan_interest))</f>
        <v>209000</v>
      </c>
      <c r="G455" s="1">
        <f t="shared" si="38"/>
        <v>12600</v>
      </c>
      <c r="H455" s="1">
        <f t="shared" si="39"/>
        <v>28350</v>
      </c>
      <c r="I455" s="1">
        <f>MAX(0,Table1[[#This Row],[Agi]]-Table1[[#This Row],[Exemptions]]-Table1[[#This Row],[Effective Deductions]])</f>
        <v>168050</v>
      </c>
      <c r="J4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34039.5</v>
      </c>
      <c r="K455" s="1">
        <f t="shared" si="40"/>
        <v>5000</v>
      </c>
      <c r="L455" s="1">
        <f>IF(Table1[[#This Row],[Agi]]&gt;ctc_phase_out_begins,ctc_phase_out_rate*(Table1[[#This Row],[Agi]]-ctc_phase_out_begins),0)</f>
        <v>4950</v>
      </c>
      <c r="M455" s="1">
        <f>MAX(Table1[[#This Row],[Child Tax Credit]]-Table1[[#This Row],[Child Tax Credit Phase Out]],0)</f>
        <v>50</v>
      </c>
      <c r="N455" s="1">
        <f>MAX(Table1[[#This Row],[Regular Taxes Owed]]-Table1[[#This Row],[Effective Child Tax Credit]],0)</f>
        <v>33989.5</v>
      </c>
      <c r="O455" s="1">
        <f>MAX(MIN((Table1[[#This Row],[taxable wages]]-3000)*0.15,1000*num_kids_16_younger),0)</f>
        <v>5000</v>
      </c>
      <c r="P455" s="9">
        <f>IF(Table1[[#This Row],[Effective Child Tax Credit]]&gt;Table1[[#This Row],[Regular Taxes Owed]],Table1[[#This Row],[Additional Child Tax Credit ]]-Table1[[#This Row],[Regular Taxes Owed]],0)</f>
        <v>0</v>
      </c>
      <c r="Q4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5" s="1">
        <f>Table1[[#This Row],[Effective Additional Child Tax Credit]]+Table1[[#This Row],[Eitc]]</f>
        <v>0</v>
      </c>
      <c r="S455" s="9">
        <f>Table1[[#This Row],[Regular Taxes Owed - Effective Child Tax Credit]]-Table1[[#This Row],[Total Credits]]</f>
        <v>33989.5</v>
      </c>
      <c r="T455" s="9">
        <f>Table1[[#This Row],[taxable wages]]+interest+dividends+short_term_capital_gains+long_term_capital_gains-(charitable_donations+mortgage_interest)</f>
        <v>209000</v>
      </c>
      <c r="U455" s="9">
        <f>MAX(amt_exemption-amt_exemption_phase_out_rate*MAX(Table1[[#This Row],[taxable wages]]-amt_phase_out_begins,0),0)</f>
        <v>71475</v>
      </c>
      <c r="V4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35756.5</v>
      </c>
      <c r="W455" s="1">
        <f>IF(AND(Table1[[#This Row],[AMT Taxes]]&gt;Table1[[#This Row],[Regular Taxes Owed]],Table1[[#This Row],[AMT Taxes]]&gt;0),Table1[[#This Row],[AMT Taxes]]-Table1[[#This Row],[Regular Taxes Owed]],0)</f>
        <v>1717</v>
      </c>
      <c r="X455" s="9">
        <f>Table1[[#This Row],[Extra Taxes From Amt]]+Table1[[#This Row],[Federal Taxes Owed (No AMT)]]</f>
        <v>35706.5</v>
      </c>
      <c r="Y455" s="9">
        <f>IF(Table1[[#This Row],[taxable wages]]&gt;obamacare_surcharge_amount,obamacare_surcharge_percent*(Table1[[#This Row],[taxable wages]]-obamacare_surcharge_amount),0)</f>
        <v>0</v>
      </c>
      <c r="Z455" s="9">
        <f>Table1[[#This Row],[Federal Taxes Owed (Includes AMT)]]+Table1[[#This Row],[Obamacare surcharge premium]]</f>
        <v>35706.5</v>
      </c>
      <c r="AA455" s="9">
        <f>Table1[[#This Row],[taxable wages]]-Table1[[#This Row],[Federal Taxes Owed2]]</f>
        <v>173293.5</v>
      </c>
      <c r="AB455" s="51">
        <f t="shared" si="41"/>
        <v>0.375</v>
      </c>
      <c r="AC455" s="41"/>
      <c r="AD455" s="13"/>
      <c r="AE455" s="13"/>
    </row>
    <row r="456" spans="2:31" x14ac:dyDescent="0.3">
      <c r="B456" s="41">
        <f t="shared" si="42"/>
        <v>209500</v>
      </c>
      <c r="C456" s="1">
        <f>Table1[[#This Row],[taxable wages]]</f>
        <v>209500</v>
      </c>
      <c r="D456" s="1">
        <f>Table1[[#This Row],[taxable wages]]+interest+dividends+short_term_capital_gains+long_term_capital_gains</f>
        <v>209500</v>
      </c>
      <c r="E456" s="1">
        <f>MAX(Table1[[#This Row],[earned income for EITC]:[Agi For Eitc Calc]])</f>
        <v>209500</v>
      </c>
      <c r="F456" s="1">
        <f>Table1[[#This Row],[taxable wages]]+interest+dividends+short_term_capital_gains+long_term_capital_gains-(trad_ira_contributions+MIN(student_loan_interest_cap,student_loan_interest))</f>
        <v>209500</v>
      </c>
      <c r="G456" s="1">
        <f t="shared" si="38"/>
        <v>12600</v>
      </c>
      <c r="H456" s="1">
        <f t="shared" si="39"/>
        <v>28350</v>
      </c>
      <c r="I456" s="1">
        <f>MAX(0,Table1[[#This Row],[Agi]]-Table1[[#This Row],[Exemptions]]-Table1[[#This Row],[Effective Deductions]])</f>
        <v>168550</v>
      </c>
      <c r="J4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34179.5</v>
      </c>
      <c r="K456" s="1">
        <f t="shared" si="40"/>
        <v>5000</v>
      </c>
      <c r="L456" s="1">
        <f>IF(Table1[[#This Row],[Agi]]&gt;ctc_phase_out_begins,ctc_phase_out_rate*(Table1[[#This Row],[Agi]]-ctc_phase_out_begins),0)</f>
        <v>4975</v>
      </c>
      <c r="M456" s="1">
        <f>MAX(Table1[[#This Row],[Child Tax Credit]]-Table1[[#This Row],[Child Tax Credit Phase Out]],0)</f>
        <v>25</v>
      </c>
      <c r="N456" s="1">
        <f>MAX(Table1[[#This Row],[Regular Taxes Owed]]-Table1[[#This Row],[Effective Child Tax Credit]],0)</f>
        <v>34154.5</v>
      </c>
      <c r="O456" s="1">
        <f>MAX(MIN((Table1[[#This Row],[taxable wages]]-3000)*0.15,1000*num_kids_16_younger),0)</f>
        <v>5000</v>
      </c>
      <c r="P456" s="9">
        <f>IF(Table1[[#This Row],[Effective Child Tax Credit]]&gt;Table1[[#This Row],[Regular Taxes Owed]],Table1[[#This Row],[Additional Child Tax Credit ]]-Table1[[#This Row],[Regular Taxes Owed]],0)</f>
        <v>0</v>
      </c>
      <c r="Q4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6" s="1">
        <f>Table1[[#This Row],[Effective Additional Child Tax Credit]]+Table1[[#This Row],[Eitc]]</f>
        <v>0</v>
      </c>
      <c r="S456" s="9">
        <f>Table1[[#This Row],[Regular Taxes Owed - Effective Child Tax Credit]]-Table1[[#This Row],[Total Credits]]</f>
        <v>34154.5</v>
      </c>
      <c r="T456" s="9">
        <f>Table1[[#This Row],[taxable wages]]+interest+dividends+short_term_capital_gains+long_term_capital_gains-(charitable_donations+mortgage_interest)</f>
        <v>209500</v>
      </c>
      <c r="U456" s="9">
        <f>MAX(amt_exemption-amt_exemption_phase_out_rate*MAX(Table1[[#This Row],[taxable wages]]-amt_phase_out_begins,0),0)</f>
        <v>71350</v>
      </c>
      <c r="V4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35919</v>
      </c>
      <c r="W456" s="1">
        <f>IF(AND(Table1[[#This Row],[AMT Taxes]]&gt;Table1[[#This Row],[Regular Taxes Owed]],Table1[[#This Row],[AMT Taxes]]&gt;0),Table1[[#This Row],[AMT Taxes]]-Table1[[#This Row],[Regular Taxes Owed]],0)</f>
        <v>1739.5</v>
      </c>
      <c r="X456" s="9">
        <f>Table1[[#This Row],[Extra Taxes From Amt]]+Table1[[#This Row],[Federal Taxes Owed (No AMT)]]</f>
        <v>35894</v>
      </c>
      <c r="Y456" s="9">
        <f>IF(Table1[[#This Row],[taxable wages]]&gt;obamacare_surcharge_amount,obamacare_surcharge_percent*(Table1[[#This Row],[taxable wages]]-obamacare_surcharge_amount),0)</f>
        <v>0</v>
      </c>
      <c r="Z456" s="9">
        <f>Table1[[#This Row],[Federal Taxes Owed (Includes AMT)]]+Table1[[#This Row],[Obamacare surcharge premium]]</f>
        <v>35894</v>
      </c>
      <c r="AA456" s="9">
        <f>Table1[[#This Row],[taxable wages]]-Table1[[#This Row],[Federal Taxes Owed2]]</f>
        <v>173606</v>
      </c>
      <c r="AB456" s="51">
        <f t="shared" si="41"/>
        <v>0.375</v>
      </c>
      <c r="AC456" s="41"/>
      <c r="AD456" s="13"/>
      <c r="AE456" s="13"/>
    </row>
    <row r="457" spans="2:31" x14ac:dyDescent="0.3">
      <c r="B457" s="41">
        <f t="shared" si="42"/>
        <v>210000</v>
      </c>
      <c r="C457" s="1">
        <f>Table1[[#This Row],[taxable wages]]</f>
        <v>210000</v>
      </c>
      <c r="D457" s="1">
        <f>Table1[[#This Row],[taxable wages]]+interest+dividends+short_term_capital_gains+long_term_capital_gains</f>
        <v>210000</v>
      </c>
      <c r="E457" s="1">
        <f>MAX(Table1[[#This Row],[earned income for EITC]:[Agi For Eitc Calc]])</f>
        <v>210000</v>
      </c>
      <c r="F457" s="1">
        <f>Table1[[#This Row],[taxable wages]]+interest+dividends+short_term_capital_gains+long_term_capital_gains-(trad_ira_contributions+MIN(student_loan_interest_cap,student_loan_interest))</f>
        <v>210000</v>
      </c>
      <c r="G457" s="1">
        <f t="shared" si="38"/>
        <v>12600</v>
      </c>
      <c r="H457" s="1">
        <f t="shared" si="39"/>
        <v>28350</v>
      </c>
      <c r="I457" s="1">
        <f>MAX(0,Table1[[#This Row],[Agi]]-Table1[[#This Row],[Exemptions]]-Table1[[#This Row],[Effective Deductions]])</f>
        <v>169050</v>
      </c>
      <c r="J4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34319.5</v>
      </c>
      <c r="K457" s="1">
        <f t="shared" si="40"/>
        <v>5000</v>
      </c>
      <c r="L457" s="1">
        <f>IF(Table1[[#This Row],[Agi]]&gt;ctc_phase_out_begins,ctc_phase_out_rate*(Table1[[#This Row],[Agi]]-ctc_phase_out_begins),0)</f>
        <v>5000</v>
      </c>
      <c r="M457" s="1">
        <f>MAX(Table1[[#This Row],[Child Tax Credit]]-Table1[[#This Row],[Child Tax Credit Phase Out]],0)</f>
        <v>0</v>
      </c>
      <c r="N457" s="1">
        <f>MAX(Table1[[#This Row],[Regular Taxes Owed]]-Table1[[#This Row],[Effective Child Tax Credit]],0)</f>
        <v>34319.5</v>
      </c>
      <c r="O457" s="1">
        <f>MAX(MIN((Table1[[#This Row],[taxable wages]]-3000)*0.15,1000*num_kids_16_younger),0)</f>
        <v>5000</v>
      </c>
      <c r="P457" s="9">
        <f>IF(Table1[[#This Row],[Effective Child Tax Credit]]&gt;Table1[[#This Row],[Regular Taxes Owed]],Table1[[#This Row],[Additional Child Tax Credit ]]-Table1[[#This Row],[Regular Taxes Owed]],0)</f>
        <v>0</v>
      </c>
      <c r="Q4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7" s="1">
        <f>Table1[[#This Row],[Effective Additional Child Tax Credit]]+Table1[[#This Row],[Eitc]]</f>
        <v>0</v>
      </c>
      <c r="S457" s="9">
        <f>Table1[[#This Row],[Regular Taxes Owed - Effective Child Tax Credit]]-Table1[[#This Row],[Total Credits]]</f>
        <v>34319.5</v>
      </c>
      <c r="T457" s="9">
        <f>Table1[[#This Row],[taxable wages]]+interest+dividends+short_term_capital_gains+long_term_capital_gains-(charitable_donations+mortgage_interest)</f>
        <v>210000</v>
      </c>
      <c r="U457" s="9">
        <f>MAX(amt_exemption-amt_exemption_phase_out_rate*MAX(Table1[[#This Row],[taxable wages]]-amt_phase_out_begins,0),0)</f>
        <v>71225</v>
      </c>
      <c r="V4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36081.5</v>
      </c>
      <c r="W457" s="1">
        <f>IF(AND(Table1[[#This Row],[AMT Taxes]]&gt;Table1[[#This Row],[Regular Taxes Owed]],Table1[[#This Row],[AMT Taxes]]&gt;0),Table1[[#This Row],[AMT Taxes]]-Table1[[#This Row],[Regular Taxes Owed]],0)</f>
        <v>1762</v>
      </c>
      <c r="X457" s="9">
        <f>Table1[[#This Row],[Extra Taxes From Amt]]+Table1[[#This Row],[Federal Taxes Owed (No AMT)]]</f>
        <v>36081.5</v>
      </c>
      <c r="Y457" s="9">
        <f>IF(Table1[[#This Row],[taxable wages]]&gt;obamacare_surcharge_amount,obamacare_surcharge_percent*(Table1[[#This Row],[taxable wages]]-obamacare_surcharge_amount),0)</f>
        <v>0</v>
      </c>
      <c r="Z457" s="9">
        <f>Table1[[#This Row],[Federal Taxes Owed (Includes AMT)]]+Table1[[#This Row],[Obamacare surcharge premium]]</f>
        <v>36081.5</v>
      </c>
      <c r="AA457" s="9">
        <f>Table1[[#This Row],[taxable wages]]-Table1[[#This Row],[Federal Taxes Owed2]]</f>
        <v>173918.5</v>
      </c>
      <c r="AB457" s="51">
        <f t="shared" si="41"/>
        <v>0.375</v>
      </c>
      <c r="AC457" s="41"/>
      <c r="AD457" s="13"/>
      <c r="AE457" s="13"/>
    </row>
    <row r="458" spans="2:31" x14ac:dyDescent="0.3">
      <c r="B458" s="41">
        <f t="shared" si="42"/>
        <v>210500</v>
      </c>
      <c r="C458" s="1">
        <f>Table1[[#This Row],[taxable wages]]</f>
        <v>210500</v>
      </c>
      <c r="D458" s="1">
        <f>Table1[[#This Row],[taxable wages]]+interest+dividends+short_term_capital_gains+long_term_capital_gains</f>
        <v>210500</v>
      </c>
      <c r="E458" s="1">
        <f>MAX(Table1[[#This Row],[earned income for EITC]:[Agi For Eitc Calc]])</f>
        <v>210500</v>
      </c>
      <c r="F458" s="1">
        <f>Table1[[#This Row],[taxable wages]]+interest+dividends+short_term_capital_gains+long_term_capital_gains-(trad_ira_contributions+MIN(student_loan_interest_cap,student_loan_interest))</f>
        <v>210500</v>
      </c>
      <c r="G458" s="1">
        <f t="shared" si="38"/>
        <v>12600</v>
      </c>
      <c r="H458" s="1">
        <f t="shared" si="39"/>
        <v>28350</v>
      </c>
      <c r="I458" s="1">
        <f>MAX(0,Table1[[#This Row],[Agi]]-Table1[[#This Row],[Exemptions]]-Table1[[#This Row],[Effective Deductions]])</f>
        <v>169550</v>
      </c>
      <c r="J4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34459.5</v>
      </c>
      <c r="K458" s="1">
        <f t="shared" si="40"/>
        <v>5000</v>
      </c>
      <c r="L458" s="1">
        <f>IF(Table1[[#This Row],[Agi]]&gt;ctc_phase_out_begins,ctc_phase_out_rate*(Table1[[#This Row],[Agi]]-ctc_phase_out_begins),0)</f>
        <v>5025</v>
      </c>
      <c r="M458" s="1">
        <f>MAX(Table1[[#This Row],[Child Tax Credit]]-Table1[[#This Row],[Child Tax Credit Phase Out]],0)</f>
        <v>0</v>
      </c>
      <c r="N458" s="1">
        <f>MAX(Table1[[#This Row],[Regular Taxes Owed]]-Table1[[#This Row],[Effective Child Tax Credit]],0)</f>
        <v>34459.5</v>
      </c>
      <c r="O458" s="1">
        <f>MAX(MIN((Table1[[#This Row],[taxable wages]]-3000)*0.15,1000*num_kids_16_younger),0)</f>
        <v>5000</v>
      </c>
      <c r="P458" s="9">
        <f>IF(Table1[[#This Row],[Effective Child Tax Credit]]&gt;Table1[[#This Row],[Regular Taxes Owed]],Table1[[#This Row],[Additional Child Tax Credit ]]-Table1[[#This Row],[Regular Taxes Owed]],0)</f>
        <v>0</v>
      </c>
      <c r="Q4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8" s="1">
        <f>Table1[[#This Row],[Effective Additional Child Tax Credit]]+Table1[[#This Row],[Eitc]]</f>
        <v>0</v>
      </c>
      <c r="S458" s="9">
        <f>Table1[[#This Row],[Regular Taxes Owed - Effective Child Tax Credit]]-Table1[[#This Row],[Total Credits]]</f>
        <v>34459.5</v>
      </c>
      <c r="T458" s="9">
        <f>Table1[[#This Row],[taxable wages]]+interest+dividends+short_term_capital_gains+long_term_capital_gains-(charitable_donations+mortgage_interest)</f>
        <v>210500</v>
      </c>
      <c r="U458" s="9">
        <f>MAX(amt_exemption-amt_exemption_phase_out_rate*MAX(Table1[[#This Row],[taxable wages]]-amt_phase_out_begins,0),0)</f>
        <v>71100</v>
      </c>
      <c r="V4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36244</v>
      </c>
      <c r="W458" s="1">
        <f>IF(AND(Table1[[#This Row],[AMT Taxes]]&gt;Table1[[#This Row],[Regular Taxes Owed]],Table1[[#This Row],[AMT Taxes]]&gt;0),Table1[[#This Row],[AMT Taxes]]-Table1[[#This Row],[Regular Taxes Owed]],0)</f>
        <v>1784.5</v>
      </c>
      <c r="X458" s="9">
        <f>Table1[[#This Row],[Extra Taxes From Amt]]+Table1[[#This Row],[Federal Taxes Owed (No AMT)]]</f>
        <v>36244</v>
      </c>
      <c r="Y458" s="9">
        <f>IF(Table1[[#This Row],[taxable wages]]&gt;obamacare_surcharge_amount,obamacare_surcharge_percent*(Table1[[#This Row],[taxable wages]]-obamacare_surcharge_amount),0)</f>
        <v>0</v>
      </c>
      <c r="Z458" s="9">
        <f>Table1[[#This Row],[Federal Taxes Owed (Includes AMT)]]+Table1[[#This Row],[Obamacare surcharge premium]]</f>
        <v>36244</v>
      </c>
      <c r="AA458" s="9">
        <f>Table1[[#This Row],[taxable wages]]-Table1[[#This Row],[Federal Taxes Owed2]]</f>
        <v>174256</v>
      </c>
      <c r="AB458" s="51">
        <f t="shared" si="41"/>
        <v>0.32500000000000001</v>
      </c>
      <c r="AC458" s="41"/>
      <c r="AD458" s="13"/>
      <c r="AE458" s="13"/>
    </row>
    <row r="459" spans="2:31" x14ac:dyDescent="0.3">
      <c r="B459" s="41">
        <f t="shared" si="42"/>
        <v>211000</v>
      </c>
      <c r="C459" s="1">
        <f>Table1[[#This Row],[taxable wages]]</f>
        <v>211000</v>
      </c>
      <c r="D459" s="1">
        <f>Table1[[#This Row],[taxable wages]]+interest+dividends+short_term_capital_gains+long_term_capital_gains</f>
        <v>211000</v>
      </c>
      <c r="E459" s="1">
        <f>MAX(Table1[[#This Row],[earned income for EITC]:[Agi For Eitc Calc]])</f>
        <v>211000</v>
      </c>
      <c r="F459" s="1">
        <f>Table1[[#This Row],[taxable wages]]+interest+dividends+short_term_capital_gains+long_term_capital_gains-(trad_ira_contributions+MIN(student_loan_interest_cap,student_loan_interest))</f>
        <v>211000</v>
      </c>
      <c r="G459" s="1">
        <f t="shared" si="38"/>
        <v>12600</v>
      </c>
      <c r="H459" s="1">
        <f t="shared" si="39"/>
        <v>28350</v>
      </c>
      <c r="I459" s="1">
        <f>MAX(0,Table1[[#This Row],[Agi]]-Table1[[#This Row],[Exemptions]]-Table1[[#This Row],[Effective Deductions]])</f>
        <v>170050</v>
      </c>
      <c r="J4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34599.5</v>
      </c>
      <c r="K459" s="1">
        <f t="shared" si="40"/>
        <v>5000</v>
      </c>
      <c r="L459" s="1">
        <f>IF(Table1[[#This Row],[Agi]]&gt;ctc_phase_out_begins,ctc_phase_out_rate*(Table1[[#This Row],[Agi]]-ctc_phase_out_begins),0)</f>
        <v>5050</v>
      </c>
      <c r="M459" s="1">
        <f>MAX(Table1[[#This Row],[Child Tax Credit]]-Table1[[#This Row],[Child Tax Credit Phase Out]],0)</f>
        <v>0</v>
      </c>
      <c r="N459" s="1">
        <f>MAX(Table1[[#This Row],[Regular Taxes Owed]]-Table1[[#This Row],[Effective Child Tax Credit]],0)</f>
        <v>34599.5</v>
      </c>
      <c r="O459" s="1">
        <f>MAX(MIN((Table1[[#This Row],[taxable wages]]-3000)*0.15,1000*num_kids_16_younger),0)</f>
        <v>5000</v>
      </c>
      <c r="P459" s="9">
        <f>IF(Table1[[#This Row],[Effective Child Tax Credit]]&gt;Table1[[#This Row],[Regular Taxes Owed]],Table1[[#This Row],[Additional Child Tax Credit ]]-Table1[[#This Row],[Regular Taxes Owed]],0)</f>
        <v>0</v>
      </c>
      <c r="Q4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59" s="1">
        <f>Table1[[#This Row],[Effective Additional Child Tax Credit]]+Table1[[#This Row],[Eitc]]</f>
        <v>0</v>
      </c>
      <c r="S459" s="9">
        <f>Table1[[#This Row],[Regular Taxes Owed - Effective Child Tax Credit]]-Table1[[#This Row],[Total Credits]]</f>
        <v>34599.5</v>
      </c>
      <c r="T459" s="9">
        <f>Table1[[#This Row],[taxable wages]]+interest+dividends+short_term_capital_gains+long_term_capital_gains-(charitable_donations+mortgage_interest)</f>
        <v>211000</v>
      </c>
      <c r="U459" s="9">
        <f>MAX(amt_exemption-amt_exemption_phase_out_rate*MAX(Table1[[#This Row],[taxable wages]]-amt_phase_out_begins,0),0)</f>
        <v>70975</v>
      </c>
      <c r="V4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36406.5</v>
      </c>
      <c r="W459" s="1">
        <f>IF(AND(Table1[[#This Row],[AMT Taxes]]&gt;Table1[[#This Row],[Regular Taxes Owed]],Table1[[#This Row],[AMT Taxes]]&gt;0),Table1[[#This Row],[AMT Taxes]]-Table1[[#This Row],[Regular Taxes Owed]],0)</f>
        <v>1807</v>
      </c>
      <c r="X459" s="9">
        <f>Table1[[#This Row],[Extra Taxes From Amt]]+Table1[[#This Row],[Federal Taxes Owed (No AMT)]]</f>
        <v>36406.5</v>
      </c>
      <c r="Y459" s="9">
        <f>IF(Table1[[#This Row],[taxable wages]]&gt;obamacare_surcharge_amount,obamacare_surcharge_percent*(Table1[[#This Row],[taxable wages]]-obamacare_surcharge_amount),0)</f>
        <v>0</v>
      </c>
      <c r="Z459" s="9">
        <f>Table1[[#This Row],[Federal Taxes Owed (Includes AMT)]]+Table1[[#This Row],[Obamacare surcharge premium]]</f>
        <v>36406.5</v>
      </c>
      <c r="AA459" s="9">
        <f>Table1[[#This Row],[taxable wages]]-Table1[[#This Row],[Federal Taxes Owed2]]</f>
        <v>174593.5</v>
      </c>
      <c r="AB459" s="51">
        <f t="shared" si="41"/>
        <v>0.32500000000000001</v>
      </c>
      <c r="AC459" s="41"/>
      <c r="AD459" s="13"/>
      <c r="AE459" s="13"/>
    </row>
    <row r="460" spans="2:31" x14ac:dyDescent="0.3">
      <c r="B460" s="41">
        <f t="shared" si="42"/>
        <v>211500</v>
      </c>
      <c r="C460" s="1">
        <f>Table1[[#This Row],[taxable wages]]</f>
        <v>211500</v>
      </c>
      <c r="D460" s="1">
        <f>Table1[[#This Row],[taxable wages]]+interest+dividends+short_term_capital_gains+long_term_capital_gains</f>
        <v>211500</v>
      </c>
      <c r="E460" s="1">
        <f>MAX(Table1[[#This Row],[earned income for EITC]:[Agi For Eitc Calc]])</f>
        <v>211500</v>
      </c>
      <c r="F460" s="1">
        <f>Table1[[#This Row],[taxable wages]]+interest+dividends+short_term_capital_gains+long_term_capital_gains-(trad_ira_contributions+MIN(student_loan_interest_cap,student_loan_interest))</f>
        <v>211500</v>
      </c>
      <c r="G460" s="1">
        <f t="shared" si="38"/>
        <v>12600</v>
      </c>
      <c r="H460" s="1">
        <f t="shared" si="39"/>
        <v>28350</v>
      </c>
      <c r="I460" s="1">
        <f>MAX(0,Table1[[#This Row],[Agi]]-Table1[[#This Row],[Exemptions]]-Table1[[#This Row],[Effective Deductions]])</f>
        <v>170550</v>
      </c>
      <c r="J4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34739.5</v>
      </c>
      <c r="K460" s="1">
        <f t="shared" si="40"/>
        <v>5000</v>
      </c>
      <c r="L460" s="1">
        <f>IF(Table1[[#This Row],[Agi]]&gt;ctc_phase_out_begins,ctc_phase_out_rate*(Table1[[#This Row],[Agi]]-ctc_phase_out_begins),0)</f>
        <v>5075</v>
      </c>
      <c r="M460" s="1">
        <f>MAX(Table1[[#This Row],[Child Tax Credit]]-Table1[[#This Row],[Child Tax Credit Phase Out]],0)</f>
        <v>0</v>
      </c>
      <c r="N460" s="1">
        <f>MAX(Table1[[#This Row],[Regular Taxes Owed]]-Table1[[#This Row],[Effective Child Tax Credit]],0)</f>
        <v>34739.5</v>
      </c>
      <c r="O460" s="1">
        <f>MAX(MIN((Table1[[#This Row],[taxable wages]]-3000)*0.15,1000*num_kids_16_younger),0)</f>
        <v>5000</v>
      </c>
      <c r="P460" s="9">
        <f>IF(Table1[[#This Row],[Effective Child Tax Credit]]&gt;Table1[[#This Row],[Regular Taxes Owed]],Table1[[#This Row],[Additional Child Tax Credit ]]-Table1[[#This Row],[Regular Taxes Owed]],0)</f>
        <v>0</v>
      </c>
      <c r="Q4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0" s="1">
        <f>Table1[[#This Row],[Effective Additional Child Tax Credit]]+Table1[[#This Row],[Eitc]]</f>
        <v>0</v>
      </c>
      <c r="S460" s="9">
        <f>Table1[[#This Row],[Regular Taxes Owed - Effective Child Tax Credit]]-Table1[[#This Row],[Total Credits]]</f>
        <v>34739.5</v>
      </c>
      <c r="T460" s="9">
        <f>Table1[[#This Row],[taxable wages]]+interest+dividends+short_term_capital_gains+long_term_capital_gains-(charitable_donations+mortgage_interest)</f>
        <v>211500</v>
      </c>
      <c r="U460" s="9">
        <f>MAX(amt_exemption-amt_exemption_phase_out_rate*MAX(Table1[[#This Row],[taxable wages]]-amt_phase_out_begins,0),0)</f>
        <v>70850</v>
      </c>
      <c r="V4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36569</v>
      </c>
      <c r="W460" s="1">
        <f>IF(AND(Table1[[#This Row],[AMT Taxes]]&gt;Table1[[#This Row],[Regular Taxes Owed]],Table1[[#This Row],[AMT Taxes]]&gt;0),Table1[[#This Row],[AMT Taxes]]-Table1[[#This Row],[Regular Taxes Owed]],0)</f>
        <v>1829.5</v>
      </c>
      <c r="X460" s="9">
        <f>Table1[[#This Row],[Extra Taxes From Amt]]+Table1[[#This Row],[Federal Taxes Owed (No AMT)]]</f>
        <v>36569</v>
      </c>
      <c r="Y460" s="9">
        <f>IF(Table1[[#This Row],[taxable wages]]&gt;obamacare_surcharge_amount,obamacare_surcharge_percent*(Table1[[#This Row],[taxable wages]]-obamacare_surcharge_amount),0)</f>
        <v>0</v>
      </c>
      <c r="Z460" s="9">
        <f>Table1[[#This Row],[Federal Taxes Owed (Includes AMT)]]+Table1[[#This Row],[Obamacare surcharge premium]]</f>
        <v>36569</v>
      </c>
      <c r="AA460" s="9">
        <f>Table1[[#This Row],[taxable wages]]-Table1[[#This Row],[Federal Taxes Owed2]]</f>
        <v>174931</v>
      </c>
      <c r="AB460" s="51">
        <f t="shared" si="41"/>
        <v>0.32500000000000001</v>
      </c>
      <c r="AC460" s="41"/>
      <c r="AD460" s="13"/>
      <c r="AE460" s="13"/>
    </row>
    <row r="461" spans="2:31" x14ac:dyDescent="0.3">
      <c r="B461" s="41">
        <f t="shared" si="42"/>
        <v>212000</v>
      </c>
      <c r="C461" s="1">
        <f>Table1[[#This Row],[taxable wages]]</f>
        <v>212000</v>
      </c>
      <c r="D461" s="1">
        <f>Table1[[#This Row],[taxable wages]]+interest+dividends+short_term_capital_gains+long_term_capital_gains</f>
        <v>212000</v>
      </c>
      <c r="E461" s="1">
        <f>MAX(Table1[[#This Row],[earned income for EITC]:[Agi For Eitc Calc]])</f>
        <v>212000</v>
      </c>
      <c r="F461" s="1">
        <f>Table1[[#This Row],[taxable wages]]+interest+dividends+short_term_capital_gains+long_term_capital_gains-(trad_ira_contributions+MIN(student_loan_interest_cap,student_loan_interest))</f>
        <v>212000</v>
      </c>
      <c r="G461" s="1">
        <f t="shared" si="38"/>
        <v>12600</v>
      </c>
      <c r="H461" s="1">
        <f t="shared" si="39"/>
        <v>28350</v>
      </c>
      <c r="I461" s="1">
        <f>MAX(0,Table1[[#This Row],[Agi]]-Table1[[#This Row],[Exemptions]]-Table1[[#This Row],[Effective Deductions]])</f>
        <v>171050</v>
      </c>
      <c r="J4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34879.5</v>
      </c>
      <c r="K461" s="1">
        <f t="shared" si="40"/>
        <v>5000</v>
      </c>
      <c r="L461" s="1">
        <f>IF(Table1[[#This Row],[Agi]]&gt;ctc_phase_out_begins,ctc_phase_out_rate*(Table1[[#This Row],[Agi]]-ctc_phase_out_begins),0)</f>
        <v>5100</v>
      </c>
      <c r="M461" s="1">
        <f>MAX(Table1[[#This Row],[Child Tax Credit]]-Table1[[#This Row],[Child Tax Credit Phase Out]],0)</f>
        <v>0</v>
      </c>
      <c r="N461" s="1">
        <f>MAX(Table1[[#This Row],[Regular Taxes Owed]]-Table1[[#This Row],[Effective Child Tax Credit]],0)</f>
        <v>34879.5</v>
      </c>
      <c r="O461" s="1">
        <f>MAX(MIN((Table1[[#This Row],[taxable wages]]-3000)*0.15,1000*num_kids_16_younger),0)</f>
        <v>5000</v>
      </c>
      <c r="P461" s="9">
        <f>IF(Table1[[#This Row],[Effective Child Tax Credit]]&gt;Table1[[#This Row],[Regular Taxes Owed]],Table1[[#This Row],[Additional Child Tax Credit ]]-Table1[[#This Row],[Regular Taxes Owed]],0)</f>
        <v>0</v>
      </c>
      <c r="Q4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1" s="1">
        <f>Table1[[#This Row],[Effective Additional Child Tax Credit]]+Table1[[#This Row],[Eitc]]</f>
        <v>0</v>
      </c>
      <c r="S461" s="9">
        <f>Table1[[#This Row],[Regular Taxes Owed - Effective Child Tax Credit]]-Table1[[#This Row],[Total Credits]]</f>
        <v>34879.5</v>
      </c>
      <c r="T461" s="9">
        <f>Table1[[#This Row],[taxable wages]]+interest+dividends+short_term_capital_gains+long_term_capital_gains-(charitable_donations+mortgage_interest)</f>
        <v>212000</v>
      </c>
      <c r="U461" s="9">
        <f>MAX(amt_exemption-amt_exemption_phase_out_rate*MAX(Table1[[#This Row],[taxable wages]]-amt_phase_out_begins,0),0)</f>
        <v>70725</v>
      </c>
      <c r="V4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36731.5</v>
      </c>
      <c r="W461" s="1">
        <f>IF(AND(Table1[[#This Row],[AMT Taxes]]&gt;Table1[[#This Row],[Regular Taxes Owed]],Table1[[#This Row],[AMT Taxes]]&gt;0),Table1[[#This Row],[AMT Taxes]]-Table1[[#This Row],[Regular Taxes Owed]],0)</f>
        <v>1852</v>
      </c>
      <c r="X461" s="9">
        <f>Table1[[#This Row],[Extra Taxes From Amt]]+Table1[[#This Row],[Federal Taxes Owed (No AMT)]]</f>
        <v>36731.5</v>
      </c>
      <c r="Y461" s="9">
        <f>IF(Table1[[#This Row],[taxable wages]]&gt;obamacare_surcharge_amount,obamacare_surcharge_percent*(Table1[[#This Row],[taxable wages]]-obamacare_surcharge_amount),0)</f>
        <v>0</v>
      </c>
      <c r="Z461" s="9">
        <f>Table1[[#This Row],[Federal Taxes Owed (Includes AMT)]]+Table1[[#This Row],[Obamacare surcharge premium]]</f>
        <v>36731.5</v>
      </c>
      <c r="AA461" s="9">
        <f>Table1[[#This Row],[taxable wages]]-Table1[[#This Row],[Federal Taxes Owed2]]</f>
        <v>175268.5</v>
      </c>
      <c r="AB461" s="51">
        <f t="shared" si="41"/>
        <v>0.32500000000000001</v>
      </c>
      <c r="AC461" s="41"/>
      <c r="AD461" s="13"/>
      <c r="AE461" s="13"/>
    </row>
    <row r="462" spans="2:31" x14ac:dyDescent="0.3">
      <c r="B462" s="41">
        <f t="shared" si="42"/>
        <v>212500</v>
      </c>
      <c r="C462" s="1">
        <f>Table1[[#This Row],[taxable wages]]</f>
        <v>212500</v>
      </c>
      <c r="D462" s="1">
        <f>Table1[[#This Row],[taxable wages]]+interest+dividends+short_term_capital_gains+long_term_capital_gains</f>
        <v>212500</v>
      </c>
      <c r="E462" s="1">
        <f>MAX(Table1[[#This Row],[earned income for EITC]:[Agi For Eitc Calc]])</f>
        <v>212500</v>
      </c>
      <c r="F462" s="1">
        <f>Table1[[#This Row],[taxable wages]]+interest+dividends+short_term_capital_gains+long_term_capital_gains-(trad_ira_contributions+MIN(student_loan_interest_cap,student_loan_interest))</f>
        <v>212500</v>
      </c>
      <c r="G462" s="1">
        <f t="shared" si="38"/>
        <v>12600</v>
      </c>
      <c r="H462" s="1">
        <f t="shared" si="39"/>
        <v>28350</v>
      </c>
      <c r="I462" s="1">
        <f>MAX(0,Table1[[#This Row],[Agi]]-Table1[[#This Row],[Exemptions]]-Table1[[#This Row],[Effective Deductions]])</f>
        <v>171550</v>
      </c>
      <c r="J4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35019.5</v>
      </c>
      <c r="K462" s="1">
        <f t="shared" si="40"/>
        <v>5000</v>
      </c>
      <c r="L462" s="1">
        <f>IF(Table1[[#This Row],[Agi]]&gt;ctc_phase_out_begins,ctc_phase_out_rate*(Table1[[#This Row],[Agi]]-ctc_phase_out_begins),0)</f>
        <v>5125</v>
      </c>
      <c r="M462" s="1">
        <f>MAX(Table1[[#This Row],[Child Tax Credit]]-Table1[[#This Row],[Child Tax Credit Phase Out]],0)</f>
        <v>0</v>
      </c>
      <c r="N462" s="1">
        <f>MAX(Table1[[#This Row],[Regular Taxes Owed]]-Table1[[#This Row],[Effective Child Tax Credit]],0)</f>
        <v>35019.5</v>
      </c>
      <c r="O462" s="1">
        <f>MAX(MIN((Table1[[#This Row],[taxable wages]]-3000)*0.15,1000*num_kids_16_younger),0)</f>
        <v>5000</v>
      </c>
      <c r="P462" s="9">
        <f>IF(Table1[[#This Row],[Effective Child Tax Credit]]&gt;Table1[[#This Row],[Regular Taxes Owed]],Table1[[#This Row],[Additional Child Tax Credit ]]-Table1[[#This Row],[Regular Taxes Owed]],0)</f>
        <v>0</v>
      </c>
      <c r="Q4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2" s="1">
        <f>Table1[[#This Row],[Effective Additional Child Tax Credit]]+Table1[[#This Row],[Eitc]]</f>
        <v>0</v>
      </c>
      <c r="S462" s="9">
        <f>Table1[[#This Row],[Regular Taxes Owed - Effective Child Tax Credit]]-Table1[[#This Row],[Total Credits]]</f>
        <v>35019.5</v>
      </c>
      <c r="T462" s="9">
        <f>Table1[[#This Row],[taxable wages]]+interest+dividends+short_term_capital_gains+long_term_capital_gains-(charitable_donations+mortgage_interest)</f>
        <v>212500</v>
      </c>
      <c r="U462" s="9">
        <f>MAX(amt_exemption-amt_exemption_phase_out_rate*MAX(Table1[[#This Row],[taxable wages]]-amt_phase_out_begins,0),0)</f>
        <v>70600</v>
      </c>
      <c r="V4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36894</v>
      </c>
      <c r="W462" s="1">
        <f>IF(AND(Table1[[#This Row],[AMT Taxes]]&gt;Table1[[#This Row],[Regular Taxes Owed]],Table1[[#This Row],[AMT Taxes]]&gt;0),Table1[[#This Row],[AMT Taxes]]-Table1[[#This Row],[Regular Taxes Owed]],0)</f>
        <v>1874.5</v>
      </c>
      <c r="X462" s="9">
        <f>Table1[[#This Row],[Extra Taxes From Amt]]+Table1[[#This Row],[Federal Taxes Owed (No AMT)]]</f>
        <v>36894</v>
      </c>
      <c r="Y462" s="9">
        <f>IF(Table1[[#This Row],[taxable wages]]&gt;obamacare_surcharge_amount,obamacare_surcharge_percent*(Table1[[#This Row],[taxable wages]]-obamacare_surcharge_amount),0)</f>
        <v>0</v>
      </c>
      <c r="Z462" s="9">
        <f>Table1[[#This Row],[Federal Taxes Owed (Includes AMT)]]+Table1[[#This Row],[Obamacare surcharge premium]]</f>
        <v>36894</v>
      </c>
      <c r="AA462" s="9">
        <f>Table1[[#This Row],[taxable wages]]-Table1[[#This Row],[Federal Taxes Owed2]]</f>
        <v>175606</v>
      </c>
      <c r="AB462" s="51">
        <f t="shared" si="41"/>
        <v>0.32500000000000001</v>
      </c>
      <c r="AC462" s="41"/>
      <c r="AD462" s="13"/>
      <c r="AE462" s="13"/>
    </row>
    <row r="463" spans="2:31" x14ac:dyDescent="0.3">
      <c r="B463" s="41">
        <f t="shared" si="42"/>
        <v>213000</v>
      </c>
      <c r="C463" s="1">
        <f>Table1[[#This Row],[taxable wages]]</f>
        <v>213000</v>
      </c>
      <c r="D463" s="1">
        <f>Table1[[#This Row],[taxable wages]]+interest+dividends+short_term_capital_gains+long_term_capital_gains</f>
        <v>213000</v>
      </c>
      <c r="E463" s="1">
        <f>MAX(Table1[[#This Row],[earned income for EITC]:[Agi For Eitc Calc]])</f>
        <v>213000</v>
      </c>
      <c r="F463" s="1">
        <f>Table1[[#This Row],[taxable wages]]+interest+dividends+short_term_capital_gains+long_term_capital_gains-(trad_ira_contributions+MIN(student_loan_interest_cap,student_loan_interest))</f>
        <v>213000</v>
      </c>
      <c r="G463" s="1">
        <f t="shared" si="38"/>
        <v>12600</v>
      </c>
      <c r="H463" s="1">
        <f t="shared" si="39"/>
        <v>28350</v>
      </c>
      <c r="I463" s="1">
        <f>MAX(0,Table1[[#This Row],[Agi]]-Table1[[#This Row],[Exemptions]]-Table1[[#This Row],[Effective Deductions]])</f>
        <v>172050</v>
      </c>
      <c r="J4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35159.5</v>
      </c>
      <c r="K463" s="1">
        <f t="shared" si="40"/>
        <v>5000</v>
      </c>
      <c r="L463" s="1">
        <f>IF(Table1[[#This Row],[Agi]]&gt;ctc_phase_out_begins,ctc_phase_out_rate*(Table1[[#This Row],[Agi]]-ctc_phase_out_begins),0)</f>
        <v>5150</v>
      </c>
      <c r="M463" s="1">
        <f>MAX(Table1[[#This Row],[Child Tax Credit]]-Table1[[#This Row],[Child Tax Credit Phase Out]],0)</f>
        <v>0</v>
      </c>
      <c r="N463" s="1">
        <f>MAX(Table1[[#This Row],[Regular Taxes Owed]]-Table1[[#This Row],[Effective Child Tax Credit]],0)</f>
        <v>35159.5</v>
      </c>
      <c r="O463" s="1">
        <f>MAX(MIN((Table1[[#This Row],[taxable wages]]-3000)*0.15,1000*num_kids_16_younger),0)</f>
        <v>5000</v>
      </c>
      <c r="P463" s="9">
        <f>IF(Table1[[#This Row],[Effective Child Tax Credit]]&gt;Table1[[#This Row],[Regular Taxes Owed]],Table1[[#This Row],[Additional Child Tax Credit ]]-Table1[[#This Row],[Regular Taxes Owed]],0)</f>
        <v>0</v>
      </c>
      <c r="Q4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3" s="1">
        <f>Table1[[#This Row],[Effective Additional Child Tax Credit]]+Table1[[#This Row],[Eitc]]</f>
        <v>0</v>
      </c>
      <c r="S463" s="9">
        <f>Table1[[#This Row],[Regular Taxes Owed - Effective Child Tax Credit]]-Table1[[#This Row],[Total Credits]]</f>
        <v>35159.5</v>
      </c>
      <c r="T463" s="9">
        <f>Table1[[#This Row],[taxable wages]]+interest+dividends+short_term_capital_gains+long_term_capital_gains-(charitable_donations+mortgage_interest)</f>
        <v>213000</v>
      </c>
      <c r="U463" s="9">
        <f>MAX(amt_exemption-amt_exemption_phase_out_rate*MAX(Table1[[#This Row],[taxable wages]]-amt_phase_out_begins,0),0)</f>
        <v>70475</v>
      </c>
      <c r="V4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37056.5</v>
      </c>
      <c r="W463" s="1">
        <f>IF(AND(Table1[[#This Row],[AMT Taxes]]&gt;Table1[[#This Row],[Regular Taxes Owed]],Table1[[#This Row],[AMT Taxes]]&gt;0),Table1[[#This Row],[AMT Taxes]]-Table1[[#This Row],[Regular Taxes Owed]],0)</f>
        <v>1897</v>
      </c>
      <c r="X463" s="9">
        <f>Table1[[#This Row],[Extra Taxes From Amt]]+Table1[[#This Row],[Federal Taxes Owed (No AMT)]]</f>
        <v>37056.5</v>
      </c>
      <c r="Y463" s="9">
        <f>IF(Table1[[#This Row],[taxable wages]]&gt;obamacare_surcharge_amount,obamacare_surcharge_percent*(Table1[[#This Row],[taxable wages]]-obamacare_surcharge_amount),0)</f>
        <v>0</v>
      </c>
      <c r="Z463" s="9">
        <f>Table1[[#This Row],[Federal Taxes Owed (Includes AMT)]]+Table1[[#This Row],[Obamacare surcharge premium]]</f>
        <v>37056.5</v>
      </c>
      <c r="AA463" s="9">
        <f>Table1[[#This Row],[taxable wages]]-Table1[[#This Row],[Federal Taxes Owed2]]</f>
        <v>175943.5</v>
      </c>
      <c r="AB463" s="51">
        <f t="shared" si="41"/>
        <v>0.32500000000000001</v>
      </c>
      <c r="AC463" s="41"/>
      <c r="AD463" s="13"/>
      <c r="AE463" s="13"/>
    </row>
    <row r="464" spans="2:31" x14ac:dyDescent="0.3">
      <c r="B464" s="41">
        <f t="shared" si="42"/>
        <v>213500</v>
      </c>
      <c r="C464" s="1">
        <f>Table1[[#This Row],[taxable wages]]</f>
        <v>213500</v>
      </c>
      <c r="D464" s="1">
        <f>Table1[[#This Row],[taxable wages]]+interest+dividends+short_term_capital_gains+long_term_capital_gains</f>
        <v>213500</v>
      </c>
      <c r="E464" s="1">
        <f>MAX(Table1[[#This Row],[earned income for EITC]:[Agi For Eitc Calc]])</f>
        <v>213500</v>
      </c>
      <c r="F464" s="1">
        <f>Table1[[#This Row],[taxable wages]]+interest+dividends+short_term_capital_gains+long_term_capital_gains-(trad_ira_contributions+MIN(student_loan_interest_cap,student_loan_interest))</f>
        <v>213500</v>
      </c>
      <c r="G464" s="1">
        <f t="shared" si="38"/>
        <v>12600</v>
      </c>
      <c r="H464" s="1">
        <f t="shared" si="39"/>
        <v>28350</v>
      </c>
      <c r="I464" s="1">
        <f>MAX(0,Table1[[#This Row],[Agi]]-Table1[[#This Row],[Exemptions]]-Table1[[#This Row],[Effective Deductions]])</f>
        <v>172550</v>
      </c>
      <c r="J4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35299.5</v>
      </c>
      <c r="K464" s="1">
        <f t="shared" si="40"/>
        <v>5000</v>
      </c>
      <c r="L464" s="1">
        <f>IF(Table1[[#This Row],[Agi]]&gt;ctc_phase_out_begins,ctc_phase_out_rate*(Table1[[#This Row],[Agi]]-ctc_phase_out_begins),0)</f>
        <v>5175</v>
      </c>
      <c r="M464" s="1">
        <f>MAX(Table1[[#This Row],[Child Tax Credit]]-Table1[[#This Row],[Child Tax Credit Phase Out]],0)</f>
        <v>0</v>
      </c>
      <c r="N464" s="1">
        <f>MAX(Table1[[#This Row],[Regular Taxes Owed]]-Table1[[#This Row],[Effective Child Tax Credit]],0)</f>
        <v>35299.5</v>
      </c>
      <c r="O464" s="1">
        <f>MAX(MIN((Table1[[#This Row],[taxable wages]]-3000)*0.15,1000*num_kids_16_younger),0)</f>
        <v>5000</v>
      </c>
      <c r="P464" s="9">
        <f>IF(Table1[[#This Row],[Effective Child Tax Credit]]&gt;Table1[[#This Row],[Regular Taxes Owed]],Table1[[#This Row],[Additional Child Tax Credit ]]-Table1[[#This Row],[Regular Taxes Owed]],0)</f>
        <v>0</v>
      </c>
      <c r="Q4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4" s="1">
        <f>Table1[[#This Row],[Effective Additional Child Tax Credit]]+Table1[[#This Row],[Eitc]]</f>
        <v>0</v>
      </c>
      <c r="S464" s="9">
        <f>Table1[[#This Row],[Regular Taxes Owed - Effective Child Tax Credit]]-Table1[[#This Row],[Total Credits]]</f>
        <v>35299.5</v>
      </c>
      <c r="T464" s="9">
        <f>Table1[[#This Row],[taxable wages]]+interest+dividends+short_term_capital_gains+long_term_capital_gains-(charitable_donations+mortgage_interest)</f>
        <v>213500</v>
      </c>
      <c r="U464" s="9">
        <f>MAX(amt_exemption-amt_exemption_phase_out_rate*MAX(Table1[[#This Row],[taxable wages]]-amt_phase_out_begins,0),0)</f>
        <v>70350</v>
      </c>
      <c r="V4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37219</v>
      </c>
      <c r="W464" s="1">
        <f>IF(AND(Table1[[#This Row],[AMT Taxes]]&gt;Table1[[#This Row],[Regular Taxes Owed]],Table1[[#This Row],[AMT Taxes]]&gt;0),Table1[[#This Row],[AMT Taxes]]-Table1[[#This Row],[Regular Taxes Owed]],0)</f>
        <v>1919.5</v>
      </c>
      <c r="X464" s="9">
        <f>Table1[[#This Row],[Extra Taxes From Amt]]+Table1[[#This Row],[Federal Taxes Owed (No AMT)]]</f>
        <v>37219</v>
      </c>
      <c r="Y464" s="9">
        <f>IF(Table1[[#This Row],[taxable wages]]&gt;obamacare_surcharge_amount,obamacare_surcharge_percent*(Table1[[#This Row],[taxable wages]]-obamacare_surcharge_amount),0)</f>
        <v>0</v>
      </c>
      <c r="Z464" s="9">
        <f>Table1[[#This Row],[Federal Taxes Owed (Includes AMT)]]+Table1[[#This Row],[Obamacare surcharge premium]]</f>
        <v>37219</v>
      </c>
      <c r="AA464" s="9">
        <f>Table1[[#This Row],[taxable wages]]-Table1[[#This Row],[Federal Taxes Owed2]]</f>
        <v>176281</v>
      </c>
      <c r="AB464" s="51">
        <f t="shared" si="41"/>
        <v>0.32500000000000001</v>
      </c>
      <c r="AC464" s="41"/>
      <c r="AD464" s="13"/>
      <c r="AE464" s="13"/>
    </row>
    <row r="465" spans="2:31" x14ac:dyDescent="0.3">
      <c r="B465" s="41">
        <f t="shared" si="42"/>
        <v>214000</v>
      </c>
      <c r="C465" s="1">
        <f>Table1[[#This Row],[taxable wages]]</f>
        <v>214000</v>
      </c>
      <c r="D465" s="1">
        <f>Table1[[#This Row],[taxable wages]]+interest+dividends+short_term_capital_gains+long_term_capital_gains</f>
        <v>214000</v>
      </c>
      <c r="E465" s="1">
        <f>MAX(Table1[[#This Row],[earned income for EITC]:[Agi For Eitc Calc]])</f>
        <v>214000</v>
      </c>
      <c r="F465" s="1">
        <f>Table1[[#This Row],[taxable wages]]+interest+dividends+short_term_capital_gains+long_term_capital_gains-(trad_ira_contributions+MIN(student_loan_interest_cap,student_loan_interest))</f>
        <v>214000</v>
      </c>
      <c r="G465" s="1">
        <f t="shared" si="38"/>
        <v>12600</v>
      </c>
      <c r="H465" s="1">
        <f t="shared" si="39"/>
        <v>28350</v>
      </c>
      <c r="I465" s="1">
        <f>MAX(0,Table1[[#This Row],[Agi]]-Table1[[#This Row],[Exemptions]]-Table1[[#This Row],[Effective Deductions]])</f>
        <v>173050</v>
      </c>
      <c r="J4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35439.5</v>
      </c>
      <c r="K465" s="1">
        <f t="shared" si="40"/>
        <v>5000</v>
      </c>
      <c r="L465" s="1">
        <f>IF(Table1[[#This Row],[Agi]]&gt;ctc_phase_out_begins,ctc_phase_out_rate*(Table1[[#This Row],[Agi]]-ctc_phase_out_begins),0)</f>
        <v>5200</v>
      </c>
      <c r="M465" s="1">
        <f>MAX(Table1[[#This Row],[Child Tax Credit]]-Table1[[#This Row],[Child Tax Credit Phase Out]],0)</f>
        <v>0</v>
      </c>
      <c r="N465" s="1">
        <f>MAX(Table1[[#This Row],[Regular Taxes Owed]]-Table1[[#This Row],[Effective Child Tax Credit]],0)</f>
        <v>35439.5</v>
      </c>
      <c r="O465" s="1">
        <f>MAX(MIN((Table1[[#This Row],[taxable wages]]-3000)*0.15,1000*num_kids_16_younger),0)</f>
        <v>5000</v>
      </c>
      <c r="P465" s="9">
        <f>IF(Table1[[#This Row],[Effective Child Tax Credit]]&gt;Table1[[#This Row],[Regular Taxes Owed]],Table1[[#This Row],[Additional Child Tax Credit ]]-Table1[[#This Row],[Regular Taxes Owed]],0)</f>
        <v>0</v>
      </c>
      <c r="Q4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5" s="1">
        <f>Table1[[#This Row],[Effective Additional Child Tax Credit]]+Table1[[#This Row],[Eitc]]</f>
        <v>0</v>
      </c>
      <c r="S465" s="9">
        <f>Table1[[#This Row],[Regular Taxes Owed - Effective Child Tax Credit]]-Table1[[#This Row],[Total Credits]]</f>
        <v>35439.5</v>
      </c>
      <c r="T465" s="9">
        <f>Table1[[#This Row],[taxable wages]]+interest+dividends+short_term_capital_gains+long_term_capital_gains-(charitable_donations+mortgage_interest)</f>
        <v>214000</v>
      </c>
      <c r="U465" s="9">
        <f>MAX(amt_exemption-amt_exemption_phase_out_rate*MAX(Table1[[#This Row],[taxable wages]]-amt_phase_out_begins,0),0)</f>
        <v>70225</v>
      </c>
      <c r="V4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37381.5</v>
      </c>
      <c r="W465" s="1">
        <f>IF(AND(Table1[[#This Row],[AMT Taxes]]&gt;Table1[[#This Row],[Regular Taxes Owed]],Table1[[#This Row],[AMT Taxes]]&gt;0),Table1[[#This Row],[AMT Taxes]]-Table1[[#This Row],[Regular Taxes Owed]],0)</f>
        <v>1942</v>
      </c>
      <c r="X465" s="9">
        <f>Table1[[#This Row],[Extra Taxes From Amt]]+Table1[[#This Row],[Federal Taxes Owed (No AMT)]]</f>
        <v>37381.5</v>
      </c>
      <c r="Y465" s="9">
        <f>IF(Table1[[#This Row],[taxable wages]]&gt;obamacare_surcharge_amount,obamacare_surcharge_percent*(Table1[[#This Row],[taxable wages]]-obamacare_surcharge_amount),0)</f>
        <v>0</v>
      </c>
      <c r="Z465" s="9">
        <f>Table1[[#This Row],[Federal Taxes Owed (Includes AMT)]]+Table1[[#This Row],[Obamacare surcharge premium]]</f>
        <v>37381.5</v>
      </c>
      <c r="AA465" s="9">
        <f>Table1[[#This Row],[taxable wages]]-Table1[[#This Row],[Federal Taxes Owed2]]</f>
        <v>176618.5</v>
      </c>
      <c r="AB465" s="51">
        <f t="shared" si="41"/>
        <v>0.32500000000000001</v>
      </c>
      <c r="AC465" s="41"/>
      <c r="AD465" s="13"/>
      <c r="AE465" s="13"/>
    </row>
    <row r="466" spans="2:31" x14ac:dyDescent="0.3">
      <c r="B466" s="41">
        <f t="shared" si="42"/>
        <v>214500</v>
      </c>
      <c r="C466" s="1">
        <f>Table1[[#This Row],[taxable wages]]</f>
        <v>214500</v>
      </c>
      <c r="D466" s="1">
        <f>Table1[[#This Row],[taxable wages]]+interest+dividends+short_term_capital_gains+long_term_capital_gains</f>
        <v>214500</v>
      </c>
      <c r="E466" s="1">
        <f>MAX(Table1[[#This Row],[earned income for EITC]:[Agi For Eitc Calc]])</f>
        <v>214500</v>
      </c>
      <c r="F466" s="1">
        <f>Table1[[#This Row],[taxable wages]]+interest+dividends+short_term_capital_gains+long_term_capital_gains-(trad_ira_contributions+MIN(student_loan_interest_cap,student_loan_interest))</f>
        <v>214500</v>
      </c>
      <c r="G466" s="1">
        <f t="shared" si="38"/>
        <v>12600</v>
      </c>
      <c r="H466" s="1">
        <f t="shared" si="39"/>
        <v>28350</v>
      </c>
      <c r="I466" s="1">
        <f>MAX(0,Table1[[#This Row],[Agi]]-Table1[[#This Row],[Exemptions]]-Table1[[#This Row],[Effective Deductions]])</f>
        <v>173550</v>
      </c>
      <c r="J4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35579.5</v>
      </c>
      <c r="K466" s="1">
        <f t="shared" si="40"/>
        <v>5000</v>
      </c>
      <c r="L466" s="1">
        <f>IF(Table1[[#This Row],[Agi]]&gt;ctc_phase_out_begins,ctc_phase_out_rate*(Table1[[#This Row],[Agi]]-ctc_phase_out_begins),0)</f>
        <v>5225</v>
      </c>
      <c r="M466" s="1">
        <f>MAX(Table1[[#This Row],[Child Tax Credit]]-Table1[[#This Row],[Child Tax Credit Phase Out]],0)</f>
        <v>0</v>
      </c>
      <c r="N466" s="1">
        <f>MAX(Table1[[#This Row],[Regular Taxes Owed]]-Table1[[#This Row],[Effective Child Tax Credit]],0)</f>
        <v>35579.5</v>
      </c>
      <c r="O466" s="1">
        <f>MAX(MIN((Table1[[#This Row],[taxable wages]]-3000)*0.15,1000*num_kids_16_younger),0)</f>
        <v>5000</v>
      </c>
      <c r="P466" s="9">
        <f>IF(Table1[[#This Row],[Effective Child Tax Credit]]&gt;Table1[[#This Row],[Regular Taxes Owed]],Table1[[#This Row],[Additional Child Tax Credit ]]-Table1[[#This Row],[Regular Taxes Owed]],0)</f>
        <v>0</v>
      </c>
      <c r="Q4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6" s="1">
        <f>Table1[[#This Row],[Effective Additional Child Tax Credit]]+Table1[[#This Row],[Eitc]]</f>
        <v>0</v>
      </c>
      <c r="S466" s="9">
        <f>Table1[[#This Row],[Regular Taxes Owed - Effective Child Tax Credit]]-Table1[[#This Row],[Total Credits]]</f>
        <v>35579.5</v>
      </c>
      <c r="T466" s="9">
        <f>Table1[[#This Row],[taxable wages]]+interest+dividends+short_term_capital_gains+long_term_capital_gains-(charitable_donations+mortgage_interest)</f>
        <v>214500</v>
      </c>
      <c r="U466" s="9">
        <f>MAX(amt_exemption-amt_exemption_phase_out_rate*MAX(Table1[[#This Row],[taxable wages]]-amt_phase_out_begins,0),0)</f>
        <v>70100</v>
      </c>
      <c r="V4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37544</v>
      </c>
      <c r="W466" s="1">
        <f>IF(AND(Table1[[#This Row],[AMT Taxes]]&gt;Table1[[#This Row],[Regular Taxes Owed]],Table1[[#This Row],[AMT Taxes]]&gt;0),Table1[[#This Row],[AMT Taxes]]-Table1[[#This Row],[Regular Taxes Owed]],0)</f>
        <v>1964.5</v>
      </c>
      <c r="X466" s="9">
        <f>Table1[[#This Row],[Extra Taxes From Amt]]+Table1[[#This Row],[Federal Taxes Owed (No AMT)]]</f>
        <v>37544</v>
      </c>
      <c r="Y466" s="9">
        <f>IF(Table1[[#This Row],[taxable wages]]&gt;obamacare_surcharge_amount,obamacare_surcharge_percent*(Table1[[#This Row],[taxable wages]]-obamacare_surcharge_amount),0)</f>
        <v>0</v>
      </c>
      <c r="Z466" s="9">
        <f>Table1[[#This Row],[Federal Taxes Owed (Includes AMT)]]+Table1[[#This Row],[Obamacare surcharge premium]]</f>
        <v>37544</v>
      </c>
      <c r="AA466" s="9">
        <f>Table1[[#This Row],[taxable wages]]-Table1[[#This Row],[Federal Taxes Owed2]]</f>
        <v>176956</v>
      </c>
      <c r="AB466" s="51">
        <f t="shared" si="41"/>
        <v>0.32500000000000001</v>
      </c>
      <c r="AC466" s="41"/>
      <c r="AD466" s="13"/>
      <c r="AE466" s="13"/>
    </row>
    <row r="467" spans="2:31" x14ac:dyDescent="0.3">
      <c r="B467" s="41">
        <f t="shared" si="42"/>
        <v>215000</v>
      </c>
      <c r="C467" s="1">
        <f>Table1[[#This Row],[taxable wages]]</f>
        <v>215000</v>
      </c>
      <c r="D467" s="1">
        <f>Table1[[#This Row],[taxable wages]]+interest+dividends+short_term_capital_gains+long_term_capital_gains</f>
        <v>215000</v>
      </c>
      <c r="E467" s="1">
        <f>MAX(Table1[[#This Row],[earned income for EITC]:[Agi For Eitc Calc]])</f>
        <v>215000</v>
      </c>
      <c r="F467" s="1">
        <f>Table1[[#This Row],[taxable wages]]+interest+dividends+short_term_capital_gains+long_term_capital_gains-(trad_ira_contributions+MIN(student_loan_interest_cap,student_loan_interest))</f>
        <v>215000</v>
      </c>
      <c r="G467" s="1">
        <f t="shared" si="38"/>
        <v>12600</v>
      </c>
      <c r="H467" s="1">
        <f t="shared" si="39"/>
        <v>28350</v>
      </c>
      <c r="I467" s="1">
        <f>MAX(0,Table1[[#This Row],[Agi]]-Table1[[#This Row],[Exemptions]]-Table1[[#This Row],[Effective Deductions]])</f>
        <v>174050</v>
      </c>
      <c r="J4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35719.5</v>
      </c>
      <c r="K467" s="1">
        <f t="shared" si="40"/>
        <v>5000</v>
      </c>
      <c r="L467" s="1">
        <f>IF(Table1[[#This Row],[Agi]]&gt;ctc_phase_out_begins,ctc_phase_out_rate*(Table1[[#This Row],[Agi]]-ctc_phase_out_begins),0)</f>
        <v>5250</v>
      </c>
      <c r="M467" s="1">
        <f>MAX(Table1[[#This Row],[Child Tax Credit]]-Table1[[#This Row],[Child Tax Credit Phase Out]],0)</f>
        <v>0</v>
      </c>
      <c r="N467" s="1">
        <f>MAX(Table1[[#This Row],[Regular Taxes Owed]]-Table1[[#This Row],[Effective Child Tax Credit]],0)</f>
        <v>35719.5</v>
      </c>
      <c r="O467" s="1">
        <f>MAX(MIN((Table1[[#This Row],[taxable wages]]-3000)*0.15,1000*num_kids_16_younger),0)</f>
        <v>5000</v>
      </c>
      <c r="P467" s="9">
        <f>IF(Table1[[#This Row],[Effective Child Tax Credit]]&gt;Table1[[#This Row],[Regular Taxes Owed]],Table1[[#This Row],[Additional Child Tax Credit ]]-Table1[[#This Row],[Regular Taxes Owed]],0)</f>
        <v>0</v>
      </c>
      <c r="Q4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7" s="1">
        <f>Table1[[#This Row],[Effective Additional Child Tax Credit]]+Table1[[#This Row],[Eitc]]</f>
        <v>0</v>
      </c>
      <c r="S467" s="9">
        <f>Table1[[#This Row],[Regular Taxes Owed - Effective Child Tax Credit]]-Table1[[#This Row],[Total Credits]]</f>
        <v>35719.5</v>
      </c>
      <c r="T467" s="9">
        <f>Table1[[#This Row],[taxable wages]]+interest+dividends+short_term_capital_gains+long_term_capital_gains-(charitable_donations+mortgage_interest)</f>
        <v>215000</v>
      </c>
      <c r="U467" s="9">
        <f>MAX(amt_exemption-amt_exemption_phase_out_rate*MAX(Table1[[#This Row],[taxable wages]]-amt_phase_out_begins,0),0)</f>
        <v>69975</v>
      </c>
      <c r="V4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37706.5</v>
      </c>
      <c r="W467" s="1">
        <f>IF(AND(Table1[[#This Row],[AMT Taxes]]&gt;Table1[[#This Row],[Regular Taxes Owed]],Table1[[#This Row],[AMT Taxes]]&gt;0),Table1[[#This Row],[AMT Taxes]]-Table1[[#This Row],[Regular Taxes Owed]],0)</f>
        <v>1987</v>
      </c>
      <c r="X467" s="9">
        <f>Table1[[#This Row],[Extra Taxes From Amt]]+Table1[[#This Row],[Federal Taxes Owed (No AMT)]]</f>
        <v>37706.5</v>
      </c>
      <c r="Y467" s="9">
        <f>IF(Table1[[#This Row],[taxable wages]]&gt;obamacare_surcharge_amount,obamacare_surcharge_percent*(Table1[[#This Row],[taxable wages]]-obamacare_surcharge_amount),0)</f>
        <v>0</v>
      </c>
      <c r="Z467" s="9">
        <f>Table1[[#This Row],[Federal Taxes Owed (Includes AMT)]]+Table1[[#This Row],[Obamacare surcharge premium]]</f>
        <v>37706.5</v>
      </c>
      <c r="AA467" s="9">
        <f>Table1[[#This Row],[taxable wages]]-Table1[[#This Row],[Federal Taxes Owed2]]</f>
        <v>177293.5</v>
      </c>
      <c r="AB467" s="51">
        <f t="shared" si="41"/>
        <v>0.32500000000000001</v>
      </c>
      <c r="AC467" s="41"/>
      <c r="AD467" s="13"/>
      <c r="AE467" s="13"/>
    </row>
    <row r="468" spans="2:31" x14ac:dyDescent="0.3">
      <c r="B468" s="41">
        <f t="shared" si="42"/>
        <v>215500</v>
      </c>
      <c r="C468" s="1">
        <f>Table1[[#This Row],[taxable wages]]</f>
        <v>215500</v>
      </c>
      <c r="D468" s="1">
        <f>Table1[[#This Row],[taxable wages]]+interest+dividends+short_term_capital_gains+long_term_capital_gains</f>
        <v>215500</v>
      </c>
      <c r="E468" s="1">
        <f>MAX(Table1[[#This Row],[earned income for EITC]:[Agi For Eitc Calc]])</f>
        <v>215500</v>
      </c>
      <c r="F468" s="1">
        <f>Table1[[#This Row],[taxable wages]]+interest+dividends+short_term_capital_gains+long_term_capital_gains-(trad_ira_contributions+MIN(student_loan_interest_cap,student_loan_interest))</f>
        <v>215500</v>
      </c>
      <c r="G468" s="1">
        <f t="shared" si="38"/>
        <v>12600</v>
      </c>
      <c r="H468" s="1">
        <f t="shared" si="39"/>
        <v>28350</v>
      </c>
      <c r="I468" s="1">
        <f>MAX(0,Table1[[#This Row],[Agi]]-Table1[[#This Row],[Exemptions]]-Table1[[#This Row],[Effective Deductions]])</f>
        <v>174550</v>
      </c>
      <c r="J4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35859.5</v>
      </c>
      <c r="K468" s="1">
        <f t="shared" si="40"/>
        <v>5000</v>
      </c>
      <c r="L468" s="1">
        <f>IF(Table1[[#This Row],[Agi]]&gt;ctc_phase_out_begins,ctc_phase_out_rate*(Table1[[#This Row],[Agi]]-ctc_phase_out_begins),0)</f>
        <v>5275</v>
      </c>
      <c r="M468" s="1">
        <f>MAX(Table1[[#This Row],[Child Tax Credit]]-Table1[[#This Row],[Child Tax Credit Phase Out]],0)</f>
        <v>0</v>
      </c>
      <c r="N468" s="1">
        <f>MAX(Table1[[#This Row],[Regular Taxes Owed]]-Table1[[#This Row],[Effective Child Tax Credit]],0)</f>
        <v>35859.5</v>
      </c>
      <c r="O468" s="1">
        <f>MAX(MIN((Table1[[#This Row],[taxable wages]]-3000)*0.15,1000*num_kids_16_younger),0)</f>
        <v>5000</v>
      </c>
      <c r="P468" s="9">
        <f>IF(Table1[[#This Row],[Effective Child Tax Credit]]&gt;Table1[[#This Row],[Regular Taxes Owed]],Table1[[#This Row],[Additional Child Tax Credit ]]-Table1[[#This Row],[Regular Taxes Owed]],0)</f>
        <v>0</v>
      </c>
      <c r="Q4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8" s="1">
        <f>Table1[[#This Row],[Effective Additional Child Tax Credit]]+Table1[[#This Row],[Eitc]]</f>
        <v>0</v>
      </c>
      <c r="S468" s="9">
        <f>Table1[[#This Row],[Regular Taxes Owed - Effective Child Tax Credit]]-Table1[[#This Row],[Total Credits]]</f>
        <v>35859.5</v>
      </c>
      <c r="T468" s="9">
        <f>Table1[[#This Row],[taxable wages]]+interest+dividends+short_term_capital_gains+long_term_capital_gains-(charitable_donations+mortgage_interest)</f>
        <v>215500</v>
      </c>
      <c r="U468" s="9">
        <f>MAX(amt_exemption-amt_exemption_phase_out_rate*MAX(Table1[[#This Row],[taxable wages]]-amt_phase_out_begins,0),0)</f>
        <v>69850</v>
      </c>
      <c r="V4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37869</v>
      </c>
      <c r="W468" s="1">
        <f>IF(AND(Table1[[#This Row],[AMT Taxes]]&gt;Table1[[#This Row],[Regular Taxes Owed]],Table1[[#This Row],[AMT Taxes]]&gt;0),Table1[[#This Row],[AMT Taxes]]-Table1[[#This Row],[Regular Taxes Owed]],0)</f>
        <v>2009.5</v>
      </c>
      <c r="X468" s="9">
        <f>Table1[[#This Row],[Extra Taxes From Amt]]+Table1[[#This Row],[Federal Taxes Owed (No AMT)]]</f>
        <v>37869</v>
      </c>
      <c r="Y468" s="9">
        <f>IF(Table1[[#This Row],[taxable wages]]&gt;obamacare_surcharge_amount,obamacare_surcharge_percent*(Table1[[#This Row],[taxable wages]]-obamacare_surcharge_amount),0)</f>
        <v>0</v>
      </c>
      <c r="Z468" s="9">
        <f>Table1[[#This Row],[Federal Taxes Owed (Includes AMT)]]+Table1[[#This Row],[Obamacare surcharge premium]]</f>
        <v>37869</v>
      </c>
      <c r="AA468" s="9">
        <f>Table1[[#This Row],[taxable wages]]-Table1[[#This Row],[Federal Taxes Owed2]]</f>
        <v>177631</v>
      </c>
      <c r="AB468" s="51">
        <f t="shared" si="41"/>
        <v>0.32500000000000001</v>
      </c>
      <c r="AC468" s="41"/>
      <c r="AD468" s="13"/>
      <c r="AE468" s="13"/>
    </row>
    <row r="469" spans="2:31" x14ac:dyDescent="0.3">
      <c r="B469" s="41">
        <f t="shared" si="42"/>
        <v>216000</v>
      </c>
      <c r="C469" s="1">
        <f>Table1[[#This Row],[taxable wages]]</f>
        <v>216000</v>
      </c>
      <c r="D469" s="1">
        <f>Table1[[#This Row],[taxable wages]]+interest+dividends+short_term_capital_gains+long_term_capital_gains</f>
        <v>216000</v>
      </c>
      <c r="E469" s="1">
        <f>MAX(Table1[[#This Row],[earned income for EITC]:[Agi For Eitc Calc]])</f>
        <v>216000</v>
      </c>
      <c r="F469" s="1">
        <f>Table1[[#This Row],[taxable wages]]+interest+dividends+short_term_capital_gains+long_term_capital_gains-(trad_ira_contributions+MIN(student_loan_interest_cap,student_loan_interest))</f>
        <v>216000</v>
      </c>
      <c r="G469" s="1">
        <f t="shared" si="38"/>
        <v>12600</v>
      </c>
      <c r="H469" s="1">
        <f t="shared" si="39"/>
        <v>28350</v>
      </c>
      <c r="I469" s="1">
        <f>MAX(0,Table1[[#This Row],[Agi]]-Table1[[#This Row],[Exemptions]]-Table1[[#This Row],[Effective Deductions]])</f>
        <v>175050</v>
      </c>
      <c r="J4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35999.5</v>
      </c>
      <c r="K469" s="1">
        <f t="shared" si="40"/>
        <v>5000</v>
      </c>
      <c r="L469" s="1">
        <f>IF(Table1[[#This Row],[Agi]]&gt;ctc_phase_out_begins,ctc_phase_out_rate*(Table1[[#This Row],[Agi]]-ctc_phase_out_begins),0)</f>
        <v>5300</v>
      </c>
      <c r="M469" s="1">
        <f>MAX(Table1[[#This Row],[Child Tax Credit]]-Table1[[#This Row],[Child Tax Credit Phase Out]],0)</f>
        <v>0</v>
      </c>
      <c r="N469" s="1">
        <f>MAX(Table1[[#This Row],[Regular Taxes Owed]]-Table1[[#This Row],[Effective Child Tax Credit]],0)</f>
        <v>35999.5</v>
      </c>
      <c r="O469" s="1">
        <f>MAX(MIN((Table1[[#This Row],[taxable wages]]-3000)*0.15,1000*num_kids_16_younger),0)</f>
        <v>5000</v>
      </c>
      <c r="P469" s="9">
        <f>IF(Table1[[#This Row],[Effective Child Tax Credit]]&gt;Table1[[#This Row],[Regular Taxes Owed]],Table1[[#This Row],[Additional Child Tax Credit ]]-Table1[[#This Row],[Regular Taxes Owed]],0)</f>
        <v>0</v>
      </c>
      <c r="Q4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69" s="1">
        <f>Table1[[#This Row],[Effective Additional Child Tax Credit]]+Table1[[#This Row],[Eitc]]</f>
        <v>0</v>
      </c>
      <c r="S469" s="9">
        <f>Table1[[#This Row],[Regular Taxes Owed - Effective Child Tax Credit]]-Table1[[#This Row],[Total Credits]]</f>
        <v>35999.5</v>
      </c>
      <c r="T469" s="9">
        <f>Table1[[#This Row],[taxable wages]]+interest+dividends+short_term_capital_gains+long_term_capital_gains-(charitable_donations+mortgage_interest)</f>
        <v>216000</v>
      </c>
      <c r="U469" s="9">
        <f>MAX(amt_exemption-amt_exemption_phase_out_rate*MAX(Table1[[#This Row],[taxable wages]]-amt_phase_out_begins,0),0)</f>
        <v>69725</v>
      </c>
      <c r="V4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38031.5</v>
      </c>
      <c r="W469" s="1">
        <f>IF(AND(Table1[[#This Row],[AMT Taxes]]&gt;Table1[[#This Row],[Regular Taxes Owed]],Table1[[#This Row],[AMT Taxes]]&gt;0),Table1[[#This Row],[AMT Taxes]]-Table1[[#This Row],[Regular Taxes Owed]],0)</f>
        <v>2032</v>
      </c>
      <c r="X469" s="9">
        <f>Table1[[#This Row],[Extra Taxes From Amt]]+Table1[[#This Row],[Federal Taxes Owed (No AMT)]]</f>
        <v>38031.5</v>
      </c>
      <c r="Y469" s="9">
        <f>IF(Table1[[#This Row],[taxable wages]]&gt;obamacare_surcharge_amount,obamacare_surcharge_percent*(Table1[[#This Row],[taxable wages]]-obamacare_surcharge_amount),0)</f>
        <v>0</v>
      </c>
      <c r="Z469" s="9">
        <f>Table1[[#This Row],[Federal Taxes Owed (Includes AMT)]]+Table1[[#This Row],[Obamacare surcharge premium]]</f>
        <v>38031.5</v>
      </c>
      <c r="AA469" s="9">
        <f>Table1[[#This Row],[taxable wages]]-Table1[[#This Row],[Federal Taxes Owed2]]</f>
        <v>177968.5</v>
      </c>
      <c r="AB469" s="51">
        <f t="shared" si="41"/>
        <v>0.32500000000000001</v>
      </c>
      <c r="AC469" s="41"/>
      <c r="AD469" s="13"/>
      <c r="AE469" s="13"/>
    </row>
    <row r="470" spans="2:31" x14ac:dyDescent="0.3">
      <c r="B470" s="41">
        <f t="shared" si="42"/>
        <v>216500</v>
      </c>
      <c r="C470" s="1">
        <f>Table1[[#This Row],[taxable wages]]</f>
        <v>216500</v>
      </c>
      <c r="D470" s="1">
        <f>Table1[[#This Row],[taxable wages]]+interest+dividends+short_term_capital_gains+long_term_capital_gains</f>
        <v>216500</v>
      </c>
      <c r="E470" s="1">
        <f>MAX(Table1[[#This Row],[earned income for EITC]:[Agi For Eitc Calc]])</f>
        <v>216500</v>
      </c>
      <c r="F470" s="1">
        <f>Table1[[#This Row],[taxable wages]]+interest+dividends+short_term_capital_gains+long_term_capital_gains-(trad_ira_contributions+MIN(student_loan_interest_cap,student_loan_interest))</f>
        <v>216500</v>
      </c>
      <c r="G470" s="1">
        <f t="shared" si="38"/>
        <v>12600</v>
      </c>
      <c r="H470" s="1">
        <f t="shared" si="39"/>
        <v>28350</v>
      </c>
      <c r="I470" s="1">
        <f>MAX(0,Table1[[#This Row],[Agi]]-Table1[[#This Row],[Exemptions]]-Table1[[#This Row],[Effective Deductions]])</f>
        <v>175550</v>
      </c>
      <c r="J4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36139.5</v>
      </c>
      <c r="K470" s="1">
        <f t="shared" si="40"/>
        <v>5000</v>
      </c>
      <c r="L470" s="1">
        <f>IF(Table1[[#This Row],[Agi]]&gt;ctc_phase_out_begins,ctc_phase_out_rate*(Table1[[#This Row],[Agi]]-ctc_phase_out_begins),0)</f>
        <v>5325</v>
      </c>
      <c r="M470" s="1">
        <f>MAX(Table1[[#This Row],[Child Tax Credit]]-Table1[[#This Row],[Child Tax Credit Phase Out]],0)</f>
        <v>0</v>
      </c>
      <c r="N470" s="1">
        <f>MAX(Table1[[#This Row],[Regular Taxes Owed]]-Table1[[#This Row],[Effective Child Tax Credit]],0)</f>
        <v>36139.5</v>
      </c>
      <c r="O470" s="1">
        <f>MAX(MIN((Table1[[#This Row],[taxable wages]]-3000)*0.15,1000*num_kids_16_younger),0)</f>
        <v>5000</v>
      </c>
      <c r="P470" s="9">
        <f>IF(Table1[[#This Row],[Effective Child Tax Credit]]&gt;Table1[[#This Row],[Regular Taxes Owed]],Table1[[#This Row],[Additional Child Tax Credit ]]-Table1[[#This Row],[Regular Taxes Owed]],0)</f>
        <v>0</v>
      </c>
      <c r="Q4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0" s="1">
        <f>Table1[[#This Row],[Effective Additional Child Tax Credit]]+Table1[[#This Row],[Eitc]]</f>
        <v>0</v>
      </c>
      <c r="S470" s="9">
        <f>Table1[[#This Row],[Regular Taxes Owed - Effective Child Tax Credit]]-Table1[[#This Row],[Total Credits]]</f>
        <v>36139.5</v>
      </c>
      <c r="T470" s="9">
        <f>Table1[[#This Row],[taxable wages]]+interest+dividends+short_term_capital_gains+long_term_capital_gains-(charitable_donations+mortgage_interest)</f>
        <v>216500</v>
      </c>
      <c r="U470" s="9">
        <f>MAX(amt_exemption-amt_exemption_phase_out_rate*MAX(Table1[[#This Row],[taxable wages]]-amt_phase_out_begins,0),0)</f>
        <v>69600</v>
      </c>
      <c r="V4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38194</v>
      </c>
      <c r="W470" s="1">
        <f>IF(AND(Table1[[#This Row],[AMT Taxes]]&gt;Table1[[#This Row],[Regular Taxes Owed]],Table1[[#This Row],[AMT Taxes]]&gt;0),Table1[[#This Row],[AMT Taxes]]-Table1[[#This Row],[Regular Taxes Owed]],0)</f>
        <v>2054.5</v>
      </c>
      <c r="X470" s="9">
        <f>Table1[[#This Row],[Extra Taxes From Amt]]+Table1[[#This Row],[Federal Taxes Owed (No AMT)]]</f>
        <v>38194</v>
      </c>
      <c r="Y470" s="9">
        <f>IF(Table1[[#This Row],[taxable wages]]&gt;obamacare_surcharge_amount,obamacare_surcharge_percent*(Table1[[#This Row],[taxable wages]]-obamacare_surcharge_amount),0)</f>
        <v>0</v>
      </c>
      <c r="Z470" s="9">
        <f>Table1[[#This Row],[Federal Taxes Owed (Includes AMT)]]+Table1[[#This Row],[Obamacare surcharge premium]]</f>
        <v>38194</v>
      </c>
      <c r="AA470" s="9">
        <f>Table1[[#This Row],[taxable wages]]-Table1[[#This Row],[Federal Taxes Owed2]]</f>
        <v>178306</v>
      </c>
      <c r="AB470" s="51">
        <f t="shared" si="41"/>
        <v>0.32500000000000001</v>
      </c>
      <c r="AC470" s="41"/>
      <c r="AD470" s="13"/>
      <c r="AE470" s="13"/>
    </row>
    <row r="471" spans="2:31" x14ac:dyDescent="0.3">
      <c r="B471" s="41">
        <f t="shared" si="42"/>
        <v>217000</v>
      </c>
      <c r="C471" s="1">
        <f>Table1[[#This Row],[taxable wages]]</f>
        <v>217000</v>
      </c>
      <c r="D471" s="1">
        <f>Table1[[#This Row],[taxable wages]]+interest+dividends+short_term_capital_gains+long_term_capital_gains</f>
        <v>217000</v>
      </c>
      <c r="E471" s="1">
        <f>MAX(Table1[[#This Row],[earned income for EITC]:[Agi For Eitc Calc]])</f>
        <v>217000</v>
      </c>
      <c r="F471" s="1">
        <f>Table1[[#This Row],[taxable wages]]+interest+dividends+short_term_capital_gains+long_term_capital_gains-(trad_ira_contributions+MIN(student_loan_interest_cap,student_loan_interest))</f>
        <v>217000</v>
      </c>
      <c r="G471" s="1">
        <f t="shared" si="38"/>
        <v>12600</v>
      </c>
      <c r="H471" s="1">
        <f t="shared" si="39"/>
        <v>28350</v>
      </c>
      <c r="I471" s="1">
        <f>MAX(0,Table1[[#This Row],[Agi]]-Table1[[#This Row],[Exemptions]]-Table1[[#This Row],[Effective Deductions]])</f>
        <v>176050</v>
      </c>
      <c r="J4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36279.5</v>
      </c>
      <c r="K471" s="1">
        <f t="shared" si="40"/>
        <v>5000</v>
      </c>
      <c r="L471" s="1">
        <f>IF(Table1[[#This Row],[Agi]]&gt;ctc_phase_out_begins,ctc_phase_out_rate*(Table1[[#This Row],[Agi]]-ctc_phase_out_begins),0)</f>
        <v>5350</v>
      </c>
      <c r="M471" s="1">
        <f>MAX(Table1[[#This Row],[Child Tax Credit]]-Table1[[#This Row],[Child Tax Credit Phase Out]],0)</f>
        <v>0</v>
      </c>
      <c r="N471" s="1">
        <f>MAX(Table1[[#This Row],[Regular Taxes Owed]]-Table1[[#This Row],[Effective Child Tax Credit]],0)</f>
        <v>36279.5</v>
      </c>
      <c r="O471" s="1">
        <f>MAX(MIN((Table1[[#This Row],[taxable wages]]-3000)*0.15,1000*num_kids_16_younger),0)</f>
        <v>5000</v>
      </c>
      <c r="P471" s="9">
        <f>IF(Table1[[#This Row],[Effective Child Tax Credit]]&gt;Table1[[#This Row],[Regular Taxes Owed]],Table1[[#This Row],[Additional Child Tax Credit ]]-Table1[[#This Row],[Regular Taxes Owed]],0)</f>
        <v>0</v>
      </c>
      <c r="Q4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1" s="1">
        <f>Table1[[#This Row],[Effective Additional Child Tax Credit]]+Table1[[#This Row],[Eitc]]</f>
        <v>0</v>
      </c>
      <c r="S471" s="9">
        <f>Table1[[#This Row],[Regular Taxes Owed - Effective Child Tax Credit]]-Table1[[#This Row],[Total Credits]]</f>
        <v>36279.5</v>
      </c>
      <c r="T471" s="9">
        <f>Table1[[#This Row],[taxable wages]]+interest+dividends+short_term_capital_gains+long_term_capital_gains-(charitable_donations+mortgage_interest)</f>
        <v>217000</v>
      </c>
      <c r="U471" s="9">
        <f>MAX(amt_exemption-amt_exemption_phase_out_rate*MAX(Table1[[#This Row],[taxable wages]]-amt_phase_out_begins,0),0)</f>
        <v>69475</v>
      </c>
      <c r="V4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38356.5</v>
      </c>
      <c r="W471" s="1">
        <f>IF(AND(Table1[[#This Row],[AMT Taxes]]&gt;Table1[[#This Row],[Regular Taxes Owed]],Table1[[#This Row],[AMT Taxes]]&gt;0),Table1[[#This Row],[AMT Taxes]]-Table1[[#This Row],[Regular Taxes Owed]],0)</f>
        <v>2077</v>
      </c>
      <c r="X471" s="9">
        <f>Table1[[#This Row],[Extra Taxes From Amt]]+Table1[[#This Row],[Federal Taxes Owed (No AMT)]]</f>
        <v>38356.5</v>
      </c>
      <c r="Y471" s="9">
        <f>IF(Table1[[#This Row],[taxable wages]]&gt;obamacare_surcharge_amount,obamacare_surcharge_percent*(Table1[[#This Row],[taxable wages]]-obamacare_surcharge_amount),0)</f>
        <v>0</v>
      </c>
      <c r="Z471" s="9">
        <f>Table1[[#This Row],[Federal Taxes Owed (Includes AMT)]]+Table1[[#This Row],[Obamacare surcharge premium]]</f>
        <v>38356.5</v>
      </c>
      <c r="AA471" s="9">
        <f>Table1[[#This Row],[taxable wages]]-Table1[[#This Row],[Federal Taxes Owed2]]</f>
        <v>178643.5</v>
      </c>
      <c r="AB471" s="51">
        <f t="shared" si="41"/>
        <v>0.32500000000000001</v>
      </c>
      <c r="AC471" s="41"/>
      <c r="AD471" s="13"/>
      <c r="AE471" s="13"/>
    </row>
    <row r="472" spans="2:31" x14ac:dyDescent="0.3">
      <c r="B472" s="41">
        <f t="shared" si="42"/>
        <v>217500</v>
      </c>
      <c r="C472" s="1">
        <f>Table1[[#This Row],[taxable wages]]</f>
        <v>217500</v>
      </c>
      <c r="D472" s="1">
        <f>Table1[[#This Row],[taxable wages]]+interest+dividends+short_term_capital_gains+long_term_capital_gains</f>
        <v>217500</v>
      </c>
      <c r="E472" s="1">
        <f>MAX(Table1[[#This Row],[earned income for EITC]:[Agi For Eitc Calc]])</f>
        <v>217500</v>
      </c>
      <c r="F472" s="1">
        <f>Table1[[#This Row],[taxable wages]]+interest+dividends+short_term_capital_gains+long_term_capital_gains-(trad_ira_contributions+MIN(student_loan_interest_cap,student_loan_interest))</f>
        <v>217500</v>
      </c>
      <c r="G472" s="1">
        <f t="shared" si="38"/>
        <v>12600</v>
      </c>
      <c r="H472" s="1">
        <f t="shared" si="39"/>
        <v>28350</v>
      </c>
      <c r="I472" s="1">
        <f>MAX(0,Table1[[#This Row],[Agi]]-Table1[[#This Row],[Exemptions]]-Table1[[#This Row],[Effective Deductions]])</f>
        <v>176550</v>
      </c>
      <c r="J4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36419.5</v>
      </c>
      <c r="K472" s="1">
        <f t="shared" si="40"/>
        <v>5000</v>
      </c>
      <c r="L472" s="1">
        <f>IF(Table1[[#This Row],[Agi]]&gt;ctc_phase_out_begins,ctc_phase_out_rate*(Table1[[#This Row],[Agi]]-ctc_phase_out_begins),0)</f>
        <v>5375</v>
      </c>
      <c r="M472" s="1">
        <f>MAX(Table1[[#This Row],[Child Tax Credit]]-Table1[[#This Row],[Child Tax Credit Phase Out]],0)</f>
        <v>0</v>
      </c>
      <c r="N472" s="1">
        <f>MAX(Table1[[#This Row],[Regular Taxes Owed]]-Table1[[#This Row],[Effective Child Tax Credit]],0)</f>
        <v>36419.5</v>
      </c>
      <c r="O472" s="1">
        <f>MAX(MIN((Table1[[#This Row],[taxable wages]]-3000)*0.15,1000*num_kids_16_younger),0)</f>
        <v>5000</v>
      </c>
      <c r="P472" s="9">
        <f>IF(Table1[[#This Row],[Effective Child Tax Credit]]&gt;Table1[[#This Row],[Regular Taxes Owed]],Table1[[#This Row],[Additional Child Tax Credit ]]-Table1[[#This Row],[Regular Taxes Owed]],0)</f>
        <v>0</v>
      </c>
      <c r="Q4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2" s="1">
        <f>Table1[[#This Row],[Effective Additional Child Tax Credit]]+Table1[[#This Row],[Eitc]]</f>
        <v>0</v>
      </c>
      <c r="S472" s="9">
        <f>Table1[[#This Row],[Regular Taxes Owed - Effective Child Tax Credit]]-Table1[[#This Row],[Total Credits]]</f>
        <v>36419.5</v>
      </c>
      <c r="T472" s="9">
        <f>Table1[[#This Row],[taxable wages]]+interest+dividends+short_term_capital_gains+long_term_capital_gains-(charitable_donations+mortgage_interest)</f>
        <v>217500</v>
      </c>
      <c r="U472" s="9">
        <f>MAX(amt_exemption-amt_exemption_phase_out_rate*MAX(Table1[[#This Row],[taxable wages]]-amt_phase_out_begins,0),0)</f>
        <v>69350</v>
      </c>
      <c r="V4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38519</v>
      </c>
      <c r="W472" s="1">
        <f>IF(AND(Table1[[#This Row],[AMT Taxes]]&gt;Table1[[#This Row],[Regular Taxes Owed]],Table1[[#This Row],[AMT Taxes]]&gt;0),Table1[[#This Row],[AMT Taxes]]-Table1[[#This Row],[Regular Taxes Owed]],0)</f>
        <v>2099.5</v>
      </c>
      <c r="X472" s="9">
        <f>Table1[[#This Row],[Extra Taxes From Amt]]+Table1[[#This Row],[Federal Taxes Owed (No AMT)]]</f>
        <v>38519</v>
      </c>
      <c r="Y472" s="9">
        <f>IF(Table1[[#This Row],[taxable wages]]&gt;obamacare_surcharge_amount,obamacare_surcharge_percent*(Table1[[#This Row],[taxable wages]]-obamacare_surcharge_amount),0)</f>
        <v>0</v>
      </c>
      <c r="Z472" s="9">
        <f>Table1[[#This Row],[Federal Taxes Owed (Includes AMT)]]+Table1[[#This Row],[Obamacare surcharge premium]]</f>
        <v>38519</v>
      </c>
      <c r="AA472" s="9">
        <f>Table1[[#This Row],[taxable wages]]-Table1[[#This Row],[Federal Taxes Owed2]]</f>
        <v>178981</v>
      </c>
      <c r="AB472" s="51">
        <f t="shared" si="41"/>
        <v>0.32500000000000001</v>
      </c>
      <c r="AC472" s="41"/>
      <c r="AD472" s="13"/>
      <c r="AE472" s="13"/>
    </row>
    <row r="473" spans="2:31" x14ac:dyDescent="0.3">
      <c r="B473" s="41">
        <f t="shared" si="42"/>
        <v>218000</v>
      </c>
      <c r="C473" s="1">
        <f>Table1[[#This Row],[taxable wages]]</f>
        <v>218000</v>
      </c>
      <c r="D473" s="1">
        <f>Table1[[#This Row],[taxable wages]]+interest+dividends+short_term_capital_gains+long_term_capital_gains</f>
        <v>218000</v>
      </c>
      <c r="E473" s="1">
        <f>MAX(Table1[[#This Row],[earned income for EITC]:[Agi For Eitc Calc]])</f>
        <v>218000</v>
      </c>
      <c r="F473" s="1">
        <f>Table1[[#This Row],[taxable wages]]+interest+dividends+short_term_capital_gains+long_term_capital_gains-(trad_ira_contributions+MIN(student_loan_interest_cap,student_loan_interest))</f>
        <v>218000</v>
      </c>
      <c r="G473" s="1">
        <f t="shared" si="38"/>
        <v>12600</v>
      </c>
      <c r="H473" s="1">
        <f t="shared" si="39"/>
        <v>28350</v>
      </c>
      <c r="I473" s="1">
        <f>MAX(0,Table1[[#This Row],[Agi]]-Table1[[#This Row],[Exemptions]]-Table1[[#This Row],[Effective Deductions]])</f>
        <v>177050</v>
      </c>
      <c r="J4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36559.5</v>
      </c>
      <c r="K473" s="1">
        <f t="shared" si="40"/>
        <v>5000</v>
      </c>
      <c r="L473" s="1">
        <f>IF(Table1[[#This Row],[Agi]]&gt;ctc_phase_out_begins,ctc_phase_out_rate*(Table1[[#This Row],[Agi]]-ctc_phase_out_begins),0)</f>
        <v>5400</v>
      </c>
      <c r="M473" s="1">
        <f>MAX(Table1[[#This Row],[Child Tax Credit]]-Table1[[#This Row],[Child Tax Credit Phase Out]],0)</f>
        <v>0</v>
      </c>
      <c r="N473" s="1">
        <f>MAX(Table1[[#This Row],[Regular Taxes Owed]]-Table1[[#This Row],[Effective Child Tax Credit]],0)</f>
        <v>36559.5</v>
      </c>
      <c r="O473" s="1">
        <f>MAX(MIN((Table1[[#This Row],[taxable wages]]-3000)*0.15,1000*num_kids_16_younger),0)</f>
        <v>5000</v>
      </c>
      <c r="P473" s="9">
        <f>IF(Table1[[#This Row],[Effective Child Tax Credit]]&gt;Table1[[#This Row],[Regular Taxes Owed]],Table1[[#This Row],[Additional Child Tax Credit ]]-Table1[[#This Row],[Regular Taxes Owed]],0)</f>
        <v>0</v>
      </c>
      <c r="Q4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3" s="1">
        <f>Table1[[#This Row],[Effective Additional Child Tax Credit]]+Table1[[#This Row],[Eitc]]</f>
        <v>0</v>
      </c>
      <c r="S473" s="9">
        <f>Table1[[#This Row],[Regular Taxes Owed - Effective Child Tax Credit]]-Table1[[#This Row],[Total Credits]]</f>
        <v>36559.5</v>
      </c>
      <c r="T473" s="9">
        <f>Table1[[#This Row],[taxable wages]]+interest+dividends+short_term_capital_gains+long_term_capital_gains-(charitable_donations+mortgage_interest)</f>
        <v>218000</v>
      </c>
      <c r="U473" s="9">
        <f>MAX(amt_exemption-amt_exemption_phase_out_rate*MAX(Table1[[#This Row],[taxable wages]]-amt_phase_out_begins,0),0)</f>
        <v>69225</v>
      </c>
      <c r="V4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38681.5</v>
      </c>
      <c r="W473" s="1">
        <f>IF(AND(Table1[[#This Row],[AMT Taxes]]&gt;Table1[[#This Row],[Regular Taxes Owed]],Table1[[#This Row],[AMT Taxes]]&gt;0),Table1[[#This Row],[AMT Taxes]]-Table1[[#This Row],[Regular Taxes Owed]],0)</f>
        <v>2122</v>
      </c>
      <c r="X473" s="9">
        <f>Table1[[#This Row],[Extra Taxes From Amt]]+Table1[[#This Row],[Federal Taxes Owed (No AMT)]]</f>
        <v>38681.5</v>
      </c>
      <c r="Y473" s="9">
        <f>IF(Table1[[#This Row],[taxable wages]]&gt;obamacare_surcharge_amount,obamacare_surcharge_percent*(Table1[[#This Row],[taxable wages]]-obamacare_surcharge_amount),0)</f>
        <v>0</v>
      </c>
      <c r="Z473" s="9">
        <f>Table1[[#This Row],[Federal Taxes Owed (Includes AMT)]]+Table1[[#This Row],[Obamacare surcharge premium]]</f>
        <v>38681.5</v>
      </c>
      <c r="AA473" s="9">
        <f>Table1[[#This Row],[taxable wages]]-Table1[[#This Row],[Federal Taxes Owed2]]</f>
        <v>179318.5</v>
      </c>
      <c r="AB473" s="51">
        <f t="shared" si="41"/>
        <v>0.32500000000000001</v>
      </c>
      <c r="AC473" s="41"/>
      <c r="AD473" s="13"/>
      <c r="AE473" s="13"/>
    </row>
    <row r="474" spans="2:31" x14ac:dyDescent="0.3">
      <c r="B474" s="41">
        <f t="shared" si="42"/>
        <v>218500</v>
      </c>
      <c r="C474" s="1">
        <f>Table1[[#This Row],[taxable wages]]</f>
        <v>218500</v>
      </c>
      <c r="D474" s="1">
        <f>Table1[[#This Row],[taxable wages]]+interest+dividends+short_term_capital_gains+long_term_capital_gains</f>
        <v>218500</v>
      </c>
      <c r="E474" s="1">
        <f>MAX(Table1[[#This Row],[earned income for EITC]:[Agi For Eitc Calc]])</f>
        <v>218500</v>
      </c>
      <c r="F474" s="1">
        <f>Table1[[#This Row],[taxable wages]]+interest+dividends+short_term_capital_gains+long_term_capital_gains-(trad_ira_contributions+MIN(student_loan_interest_cap,student_loan_interest))</f>
        <v>218500</v>
      </c>
      <c r="G474" s="1">
        <f t="shared" si="38"/>
        <v>12600</v>
      </c>
      <c r="H474" s="1">
        <f t="shared" si="39"/>
        <v>28350</v>
      </c>
      <c r="I474" s="1">
        <f>MAX(0,Table1[[#This Row],[Agi]]-Table1[[#This Row],[Exemptions]]-Table1[[#This Row],[Effective Deductions]])</f>
        <v>177550</v>
      </c>
      <c r="J4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36699.5</v>
      </c>
      <c r="K474" s="1">
        <f t="shared" si="40"/>
        <v>5000</v>
      </c>
      <c r="L474" s="1">
        <f>IF(Table1[[#This Row],[Agi]]&gt;ctc_phase_out_begins,ctc_phase_out_rate*(Table1[[#This Row],[Agi]]-ctc_phase_out_begins),0)</f>
        <v>5425</v>
      </c>
      <c r="M474" s="1">
        <f>MAX(Table1[[#This Row],[Child Tax Credit]]-Table1[[#This Row],[Child Tax Credit Phase Out]],0)</f>
        <v>0</v>
      </c>
      <c r="N474" s="1">
        <f>MAX(Table1[[#This Row],[Regular Taxes Owed]]-Table1[[#This Row],[Effective Child Tax Credit]],0)</f>
        <v>36699.5</v>
      </c>
      <c r="O474" s="1">
        <f>MAX(MIN((Table1[[#This Row],[taxable wages]]-3000)*0.15,1000*num_kids_16_younger),0)</f>
        <v>5000</v>
      </c>
      <c r="P474" s="9">
        <f>IF(Table1[[#This Row],[Effective Child Tax Credit]]&gt;Table1[[#This Row],[Regular Taxes Owed]],Table1[[#This Row],[Additional Child Tax Credit ]]-Table1[[#This Row],[Regular Taxes Owed]],0)</f>
        <v>0</v>
      </c>
      <c r="Q4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4" s="1">
        <f>Table1[[#This Row],[Effective Additional Child Tax Credit]]+Table1[[#This Row],[Eitc]]</f>
        <v>0</v>
      </c>
      <c r="S474" s="9">
        <f>Table1[[#This Row],[Regular Taxes Owed - Effective Child Tax Credit]]-Table1[[#This Row],[Total Credits]]</f>
        <v>36699.5</v>
      </c>
      <c r="T474" s="9">
        <f>Table1[[#This Row],[taxable wages]]+interest+dividends+short_term_capital_gains+long_term_capital_gains-(charitable_donations+mortgage_interest)</f>
        <v>218500</v>
      </c>
      <c r="U474" s="9">
        <f>MAX(amt_exemption-amt_exemption_phase_out_rate*MAX(Table1[[#This Row],[taxable wages]]-amt_phase_out_begins,0),0)</f>
        <v>69100</v>
      </c>
      <c r="V4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38844</v>
      </c>
      <c r="W474" s="1">
        <f>IF(AND(Table1[[#This Row],[AMT Taxes]]&gt;Table1[[#This Row],[Regular Taxes Owed]],Table1[[#This Row],[AMT Taxes]]&gt;0),Table1[[#This Row],[AMT Taxes]]-Table1[[#This Row],[Regular Taxes Owed]],0)</f>
        <v>2144.5</v>
      </c>
      <c r="X474" s="9">
        <f>Table1[[#This Row],[Extra Taxes From Amt]]+Table1[[#This Row],[Federal Taxes Owed (No AMT)]]</f>
        <v>38844</v>
      </c>
      <c r="Y474" s="9">
        <f>IF(Table1[[#This Row],[taxable wages]]&gt;obamacare_surcharge_amount,obamacare_surcharge_percent*(Table1[[#This Row],[taxable wages]]-obamacare_surcharge_amount),0)</f>
        <v>0</v>
      </c>
      <c r="Z474" s="9">
        <f>Table1[[#This Row],[Federal Taxes Owed (Includes AMT)]]+Table1[[#This Row],[Obamacare surcharge premium]]</f>
        <v>38844</v>
      </c>
      <c r="AA474" s="9">
        <f>Table1[[#This Row],[taxable wages]]-Table1[[#This Row],[Federal Taxes Owed2]]</f>
        <v>179656</v>
      </c>
      <c r="AB474" s="51">
        <f t="shared" si="41"/>
        <v>0.32500000000000001</v>
      </c>
      <c r="AC474" s="41"/>
      <c r="AD474" s="13"/>
      <c r="AE474" s="13"/>
    </row>
    <row r="475" spans="2:31" x14ac:dyDescent="0.3">
      <c r="B475" s="41">
        <f t="shared" si="42"/>
        <v>219000</v>
      </c>
      <c r="C475" s="1">
        <f>Table1[[#This Row],[taxable wages]]</f>
        <v>219000</v>
      </c>
      <c r="D475" s="1">
        <f>Table1[[#This Row],[taxable wages]]+interest+dividends+short_term_capital_gains+long_term_capital_gains</f>
        <v>219000</v>
      </c>
      <c r="E475" s="1">
        <f>MAX(Table1[[#This Row],[earned income for EITC]:[Agi For Eitc Calc]])</f>
        <v>219000</v>
      </c>
      <c r="F475" s="1">
        <f>Table1[[#This Row],[taxable wages]]+interest+dividends+short_term_capital_gains+long_term_capital_gains-(trad_ira_contributions+MIN(student_loan_interest_cap,student_loan_interest))</f>
        <v>219000</v>
      </c>
      <c r="G475" s="1">
        <f t="shared" si="38"/>
        <v>12600</v>
      </c>
      <c r="H475" s="1">
        <f t="shared" si="39"/>
        <v>28350</v>
      </c>
      <c r="I475" s="1">
        <f>MAX(0,Table1[[#This Row],[Agi]]-Table1[[#This Row],[Exemptions]]-Table1[[#This Row],[Effective Deductions]])</f>
        <v>178050</v>
      </c>
      <c r="J4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36839.5</v>
      </c>
      <c r="K475" s="1">
        <f t="shared" si="40"/>
        <v>5000</v>
      </c>
      <c r="L475" s="1">
        <f>IF(Table1[[#This Row],[Agi]]&gt;ctc_phase_out_begins,ctc_phase_out_rate*(Table1[[#This Row],[Agi]]-ctc_phase_out_begins),0)</f>
        <v>5450</v>
      </c>
      <c r="M475" s="1">
        <f>MAX(Table1[[#This Row],[Child Tax Credit]]-Table1[[#This Row],[Child Tax Credit Phase Out]],0)</f>
        <v>0</v>
      </c>
      <c r="N475" s="1">
        <f>MAX(Table1[[#This Row],[Regular Taxes Owed]]-Table1[[#This Row],[Effective Child Tax Credit]],0)</f>
        <v>36839.5</v>
      </c>
      <c r="O475" s="1">
        <f>MAX(MIN((Table1[[#This Row],[taxable wages]]-3000)*0.15,1000*num_kids_16_younger),0)</f>
        <v>5000</v>
      </c>
      <c r="P475" s="9">
        <f>IF(Table1[[#This Row],[Effective Child Tax Credit]]&gt;Table1[[#This Row],[Regular Taxes Owed]],Table1[[#This Row],[Additional Child Tax Credit ]]-Table1[[#This Row],[Regular Taxes Owed]],0)</f>
        <v>0</v>
      </c>
      <c r="Q4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5" s="1">
        <f>Table1[[#This Row],[Effective Additional Child Tax Credit]]+Table1[[#This Row],[Eitc]]</f>
        <v>0</v>
      </c>
      <c r="S475" s="9">
        <f>Table1[[#This Row],[Regular Taxes Owed - Effective Child Tax Credit]]-Table1[[#This Row],[Total Credits]]</f>
        <v>36839.5</v>
      </c>
      <c r="T475" s="9">
        <f>Table1[[#This Row],[taxable wages]]+interest+dividends+short_term_capital_gains+long_term_capital_gains-(charitable_donations+mortgage_interest)</f>
        <v>219000</v>
      </c>
      <c r="U475" s="9">
        <f>MAX(amt_exemption-amt_exemption_phase_out_rate*MAX(Table1[[#This Row],[taxable wages]]-amt_phase_out_begins,0),0)</f>
        <v>68975</v>
      </c>
      <c r="V4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39006.5</v>
      </c>
      <c r="W475" s="1">
        <f>IF(AND(Table1[[#This Row],[AMT Taxes]]&gt;Table1[[#This Row],[Regular Taxes Owed]],Table1[[#This Row],[AMT Taxes]]&gt;0),Table1[[#This Row],[AMT Taxes]]-Table1[[#This Row],[Regular Taxes Owed]],0)</f>
        <v>2167</v>
      </c>
      <c r="X475" s="9">
        <f>Table1[[#This Row],[Extra Taxes From Amt]]+Table1[[#This Row],[Federal Taxes Owed (No AMT)]]</f>
        <v>39006.5</v>
      </c>
      <c r="Y475" s="9">
        <f>IF(Table1[[#This Row],[taxable wages]]&gt;obamacare_surcharge_amount,obamacare_surcharge_percent*(Table1[[#This Row],[taxable wages]]-obamacare_surcharge_amount),0)</f>
        <v>0</v>
      </c>
      <c r="Z475" s="9">
        <f>Table1[[#This Row],[Federal Taxes Owed (Includes AMT)]]+Table1[[#This Row],[Obamacare surcharge premium]]</f>
        <v>39006.5</v>
      </c>
      <c r="AA475" s="9">
        <f>Table1[[#This Row],[taxable wages]]-Table1[[#This Row],[Federal Taxes Owed2]]</f>
        <v>179993.5</v>
      </c>
      <c r="AB475" s="51">
        <f t="shared" si="41"/>
        <v>0.32500000000000001</v>
      </c>
      <c r="AC475" s="41"/>
      <c r="AD475" s="13"/>
      <c r="AE475" s="13"/>
    </row>
    <row r="476" spans="2:31" x14ac:dyDescent="0.3">
      <c r="B476" s="41">
        <f t="shared" si="42"/>
        <v>219500</v>
      </c>
      <c r="C476" s="1">
        <f>Table1[[#This Row],[taxable wages]]</f>
        <v>219500</v>
      </c>
      <c r="D476" s="1">
        <f>Table1[[#This Row],[taxable wages]]+interest+dividends+short_term_capital_gains+long_term_capital_gains</f>
        <v>219500</v>
      </c>
      <c r="E476" s="1">
        <f>MAX(Table1[[#This Row],[earned income for EITC]:[Agi For Eitc Calc]])</f>
        <v>219500</v>
      </c>
      <c r="F476" s="1">
        <f>Table1[[#This Row],[taxable wages]]+interest+dividends+short_term_capital_gains+long_term_capital_gains-(trad_ira_contributions+MIN(student_loan_interest_cap,student_loan_interest))</f>
        <v>219500</v>
      </c>
      <c r="G476" s="1">
        <f t="shared" si="38"/>
        <v>12600</v>
      </c>
      <c r="H476" s="1">
        <f t="shared" si="39"/>
        <v>28350</v>
      </c>
      <c r="I476" s="1">
        <f>MAX(0,Table1[[#This Row],[Agi]]-Table1[[#This Row],[Exemptions]]-Table1[[#This Row],[Effective Deductions]])</f>
        <v>178550</v>
      </c>
      <c r="J4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36979.5</v>
      </c>
      <c r="K476" s="1">
        <f t="shared" si="40"/>
        <v>5000</v>
      </c>
      <c r="L476" s="1">
        <f>IF(Table1[[#This Row],[Agi]]&gt;ctc_phase_out_begins,ctc_phase_out_rate*(Table1[[#This Row],[Agi]]-ctc_phase_out_begins),0)</f>
        <v>5475</v>
      </c>
      <c r="M476" s="1">
        <f>MAX(Table1[[#This Row],[Child Tax Credit]]-Table1[[#This Row],[Child Tax Credit Phase Out]],0)</f>
        <v>0</v>
      </c>
      <c r="N476" s="1">
        <f>MAX(Table1[[#This Row],[Regular Taxes Owed]]-Table1[[#This Row],[Effective Child Tax Credit]],0)</f>
        <v>36979.5</v>
      </c>
      <c r="O476" s="1">
        <f>MAX(MIN((Table1[[#This Row],[taxable wages]]-3000)*0.15,1000*num_kids_16_younger),0)</f>
        <v>5000</v>
      </c>
      <c r="P476" s="9">
        <f>IF(Table1[[#This Row],[Effective Child Tax Credit]]&gt;Table1[[#This Row],[Regular Taxes Owed]],Table1[[#This Row],[Additional Child Tax Credit ]]-Table1[[#This Row],[Regular Taxes Owed]],0)</f>
        <v>0</v>
      </c>
      <c r="Q4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6" s="1">
        <f>Table1[[#This Row],[Effective Additional Child Tax Credit]]+Table1[[#This Row],[Eitc]]</f>
        <v>0</v>
      </c>
      <c r="S476" s="9">
        <f>Table1[[#This Row],[Regular Taxes Owed - Effective Child Tax Credit]]-Table1[[#This Row],[Total Credits]]</f>
        <v>36979.5</v>
      </c>
      <c r="T476" s="9">
        <f>Table1[[#This Row],[taxable wages]]+interest+dividends+short_term_capital_gains+long_term_capital_gains-(charitable_donations+mortgage_interest)</f>
        <v>219500</v>
      </c>
      <c r="U476" s="9">
        <f>MAX(amt_exemption-amt_exemption_phase_out_rate*MAX(Table1[[#This Row],[taxable wages]]-amt_phase_out_begins,0),0)</f>
        <v>68850</v>
      </c>
      <c r="V4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39169</v>
      </c>
      <c r="W476" s="1">
        <f>IF(AND(Table1[[#This Row],[AMT Taxes]]&gt;Table1[[#This Row],[Regular Taxes Owed]],Table1[[#This Row],[AMT Taxes]]&gt;0),Table1[[#This Row],[AMT Taxes]]-Table1[[#This Row],[Regular Taxes Owed]],0)</f>
        <v>2189.5</v>
      </c>
      <c r="X476" s="9">
        <f>Table1[[#This Row],[Extra Taxes From Amt]]+Table1[[#This Row],[Federal Taxes Owed (No AMT)]]</f>
        <v>39169</v>
      </c>
      <c r="Y476" s="9">
        <f>IF(Table1[[#This Row],[taxable wages]]&gt;obamacare_surcharge_amount,obamacare_surcharge_percent*(Table1[[#This Row],[taxable wages]]-obamacare_surcharge_amount),0)</f>
        <v>0</v>
      </c>
      <c r="Z476" s="9">
        <f>Table1[[#This Row],[Federal Taxes Owed (Includes AMT)]]+Table1[[#This Row],[Obamacare surcharge premium]]</f>
        <v>39169</v>
      </c>
      <c r="AA476" s="9">
        <f>Table1[[#This Row],[taxable wages]]-Table1[[#This Row],[Federal Taxes Owed2]]</f>
        <v>180331</v>
      </c>
      <c r="AB476" s="51">
        <f t="shared" si="41"/>
        <v>0.32500000000000001</v>
      </c>
      <c r="AC476" s="41"/>
      <c r="AD476" s="13"/>
      <c r="AE476" s="13"/>
    </row>
    <row r="477" spans="2:31" x14ac:dyDescent="0.3">
      <c r="B477" s="41">
        <f t="shared" si="42"/>
        <v>220000</v>
      </c>
      <c r="C477" s="1">
        <f>Table1[[#This Row],[taxable wages]]</f>
        <v>220000</v>
      </c>
      <c r="D477" s="1">
        <f>Table1[[#This Row],[taxable wages]]+interest+dividends+short_term_capital_gains+long_term_capital_gains</f>
        <v>220000</v>
      </c>
      <c r="E477" s="1">
        <f>MAX(Table1[[#This Row],[earned income for EITC]:[Agi For Eitc Calc]])</f>
        <v>220000</v>
      </c>
      <c r="F477" s="1">
        <f>Table1[[#This Row],[taxable wages]]+interest+dividends+short_term_capital_gains+long_term_capital_gains-(trad_ira_contributions+MIN(student_loan_interest_cap,student_loan_interest))</f>
        <v>220000</v>
      </c>
      <c r="G477" s="1">
        <f t="shared" si="38"/>
        <v>12600</v>
      </c>
      <c r="H477" s="1">
        <f t="shared" si="39"/>
        <v>28350</v>
      </c>
      <c r="I477" s="1">
        <f>MAX(0,Table1[[#This Row],[Agi]]-Table1[[#This Row],[Exemptions]]-Table1[[#This Row],[Effective Deductions]])</f>
        <v>179050</v>
      </c>
      <c r="J4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37119.5</v>
      </c>
      <c r="K477" s="1">
        <f t="shared" si="40"/>
        <v>5000</v>
      </c>
      <c r="L477" s="1">
        <f>IF(Table1[[#This Row],[Agi]]&gt;ctc_phase_out_begins,ctc_phase_out_rate*(Table1[[#This Row],[Agi]]-ctc_phase_out_begins),0)</f>
        <v>5500</v>
      </c>
      <c r="M477" s="1">
        <f>MAX(Table1[[#This Row],[Child Tax Credit]]-Table1[[#This Row],[Child Tax Credit Phase Out]],0)</f>
        <v>0</v>
      </c>
      <c r="N477" s="1">
        <f>MAX(Table1[[#This Row],[Regular Taxes Owed]]-Table1[[#This Row],[Effective Child Tax Credit]],0)</f>
        <v>37119.5</v>
      </c>
      <c r="O477" s="1">
        <f>MAX(MIN((Table1[[#This Row],[taxable wages]]-3000)*0.15,1000*num_kids_16_younger),0)</f>
        <v>5000</v>
      </c>
      <c r="P477" s="9">
        <f>IF(Table1[[#This Row],[Effective Child Tax Credit]]&gt;Table1[[#This Row],[Regular Taxes Owed]],Table1[[#This Row],[Additional Child Tax Credit ]]-Table1[[#This Row],[Regular Taxes Owed]],0)</f>
        <v>0</v>
      </c>
      <c r="Q4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7" s="1">
        <f>Table1[[#This Row],[Effective Additional Child Tax Credit]]+Table1[[#This Row],[Eitc]]</f>
        <v>0</v>
      </c>
      <c r="S477" s="9">
        <f>Table1[[#This Row],[Regular Taxes Owed - Effective Child Tax Credit]]-Table1[[#This Row],[Total Credits]]</f>
        <v>37119.5</v>
      </c>
      <c r="T477" s="9">
        <f>Table1[[#This Row],[taxable wages]]+interest+dividends+short_term_capital_gains+long_term_capital_gains-(charitable_donations+mortgage_interest)</f>
        <v>220000</v>
      </c>
      <c r="U477" s="9">
        <f>MAX(amt_exemption-amt_exemption_phase_out_rate*MAX(Table1[[#This Row],[taxable wages]]-amt_phase_out_begins,0),0)</f>
        <v>68725</v>
      </c>
      <c r="V4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39331.5</v>
      </c>
      <c r="W477" s="1">
        <f>IF(AND(Table1[[#This Row],[AMT Taxes]]&gt;Table1[[#This Row],[Regular Taxes Owed]],Table1[[#This Row],[AMT Taxes]]&gt;0),Table1[[#This Row],[AMT Taxes]]-Table1[[#This Row],[Regular Taxes Owed]],0)</f>
        <v>2212</v>
      </c>
      <c r="X477" s="9">
        <f>Table1[[#This Row],[Extra Taxes From Amt]]+Table1[[#This Row],[Federal Taxes Owed (No AMT)]]</f>
        <v>39331.5</v>
      </c>
      <c r="Y477" s="9">
        <f>IF(Table1[[#This Row],[taxable wages]]&gt;obamacare_surcharge_amount,obamacare_surcharge_percent*(Table1[[#This Row],[taxable wages]]-obamacare_surcharge_amount),0)</f>
        <v>0</v>
      </c>
      <c r="Z477" s="9">
        <f>Table1[[#This Row],[Federal Taxes Owed (Includes AMT)]]+Table1[[#This Row],[Obamacare surcharge premium]]</f>
        <v>39331.5</v>
      </c>
      <c r="AA477" s="9">
        <f>Table1[[#This Row],[taxable wages]]-Table1[[#This Row],[Federal Taxes Owed2]]</f>
        <v>180668.5</v>
      </c>
      <c r="AB477" s="51">
        <f t="shared" si="41"/>
        <v>0.32500000000000001</v>
      </c>
      <c r="AC477" s="41"/>
      <c r="AD477" s="13"/>
      <c r="AE477" s="13"/>
    </row>
    <row r="478" spans="2:31" x14ac:dyDescent="0.3">
      <c r="B478" s="41">
        <f t="shared" si="42"/>
        <v>220500</v>
      </c>
      <c r="C478" s="1">
        <f>Table1[[#This Row],[taxable wages]]</f>
        <v>220500</v>
      </c>
      <c r="D478" s="1">
        <f>Table1[[#This Row],[taxable wages]]+interest+dividends+short_term_capital_gains+long_term_capital_gains</f>
        <v>220500</v>
      </c>
      <c r="E478" s="1">
        <f>MAX(Table1[[#This Row],[earned income for EITC]:[Agi For Eitc Calc]])</f>
        <v>220500</v>
      </c>
      <c r="F478" s="1">
        <f>Table1[[#This Row],[taxable wages]]+interest+dividends+short_term_capital_gains+long_term_capital_gains-(trad_ira_contributions+MIN(student_loan_interest_cap,student_loan_interest))</f>
        <v>220500</v>
      </c>
      <c r="G478" s="1">
        <f t="shared" si="38"/>
        <v>12600</v>
      </c>
      <c r="H478" s="1">
        <f t="shared" si="39"/>
        <v>28350</v>
      </c>
      <c r="I478" s="1">
        <f>MAX(0,Table1[[#This Row],[Agi]]-Table1[[#This Row],[Exemptions]]-Table1[[#This Row],[Effective Deductions]])</f>
        <v>179550</v>
      </c>
      <c r="J4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37259.5</v>
      </c>
      <c r="K478" s="1">
        <f t="shared" si="40"/>
        <v>5000</v>
      </c>
      <c r="L478" s="1">
        <f>IF(Table1[[#This Row],[Agi]]&gt;ctc_phase_out_begins,ctc_phase_out_rate*(Table1[[#This Row],[Agi]]-ctc_phase_out_begins),0)</f>
        <v>5525</v>
      </c>
      <c r="M478" s="1">
        <f>MAX(Table1[[#This Row],[Child Tax Credit]]-Table1[[#This Row],[Child Tax Credit Phase Out]],0)</f>
        <v>0</v>
      </c>
      <c r="N478" s="1">
        <f>MAX(Table1[[#This Row],[Regular Taxes Owed]]-Table1[[#This Row],[Effective Child Tax Credit]],0)</f>
        <v>37259.5</v>
      </c>
      <c r="O478" s="1">
        <f>MAX(MIN((Table1[[#This Row],[taxable wages]]-3000)*0.15,1000*num_kids_16_younger),0)</f>
        <v>5000</v>
      </c>
      <c r="P478" s="9">
        <f>IF(Table1[[#This Row],[Effective Child Tax Credit]]&gt;Table1[[#This Row],[Regular Taxes Owed]],Table1[[#This Row],[Additional Child Tax Credit ]]-Table1[[#This Row],[Regular Taxes Owed]],0)</f>
        <v>0</v>
      </c>
      <c r="Q4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8" s="1">
        <f>Table1[[#This Row],[Effective Additional Child Tax Credit]]+Table1[[#This Row],[Eitc]]</f>
        <v>0</v>
      </c>
      <c r="S478" s="9">
        <f>Table1[[#This Row],[Regular Taxes Owed - Effective Child Tax Credit]]-Table1[[#This Row],[Total Credits]]</f>
        <v>37259.5</v>
      </c>
      <c r="T478" s="9">
        <f>Table1[[#This Row],[taxable wages]]+interest+dividends+short_term_capital_gains+long_term_capital_gains-(charitable_donations+mortgage_interest)</f>
        <v>220500</v>
      </c>
      <c r="U478" s="9">
        <f>MAX(amt_exemption-amt_exemption_phase_out_rate*MAX(Table1[[#This Row],[taxable wages]]-amt_phase_out_begins,0),0)</f>
        <v>68600</v>
      </c>
      <c r="V4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39494</v>
      </c>
      <c r="W478" s="1">
        <f>IF(AND(Table1[[#This Row],[AMT Taxes]]&gt;Table1[[#This Row],[Regular Taxes Owed]],Table1[[#This Row],[AMT Taxes]]&gt;0),Table1[[#This Row],[AMT Taxes]]-Table1[[#This Row],[Regular Taxes Owed]],0)</f>
        <v>2234.5</v>
      </c>
      <c r="X478" s="9">
        <f>Table1[[#This Row],[Extra Taxes From Amt]]+Table1[[#This Row],[Federal Taxes Owed (No AMT)]]</f>
        <v>39494</v>
      </c>
      <c r="Y478" s="9">
        <f>IF(Table1[[#This Row],[taxable wages]]&gt;obamacare_surcharge_amount,obamacare_surcharge_percent*(Table1[[#This Row],[taxable wages]]-obamacare_surcharge_amount),0)</f>
        <v>0</v>
      </c>
      <c r="Z478" s="9">
        <f>Table1[[#This Row],[Federal Taxes Owed (Includes AMT)]]+Table1[[#This Row],[Obamacare surcharge premium]]</f>
        <v>39494</v>
      </c>
      <c r="AA478" s="9">
        <f>Table1[[#This Row],[taxable wages]]-Table1[[#This Row],[Federal Taxes Owed2]]</f>
        <v>181006</v>
      </c>
      <c r="AB478" s="51">
        <f t="shared" si="41"/>
        <v>0.32500000000000001</v>
      </c>
      <c r="AC478" s="41"/>
      <c r="AD478" s="13"/>
      <c r="AE478" s="13"/>
    </row>
    <row r="479" spans="2:31" x14ac:dyDescent="0.3">
      <c r="B479" s="41">
        <f t="shared" si="42"/>
        <v>221000</v>
      </c>
      <c r="C479" s="1">
        <f>Table1[[#This Row],[taxable wages]]</f>
        <v>221000</v>
      </c>
      <c r="D479" s="1">
        <f>Table1[[#This Row],[taxable wages]]+interest+dividends+short_term_capital_gains+long_term_capital_gains</f>
        <v>221000</v>
      </c>
      <c r="E479" s="1">
        <f>MAX(Table1[[#This Row],[earned income for EITC]:[Agi For Eitc Calc]])</f>
        <v>221000</v>
      </c>
      <c r="F479" s="1">
        <f>Table1[[#This Row],[taxable wages]]+interest+dividends+short_term_capital_gains+long_term_capital_gains-(trad_ira_contributions+MIN(student_loan_interest_cap,student_loan_interest))</f>
        <v>221000</v>
      </c>
      <c r="G479" s="1">
        <f t="shared" si="38"/>
        <v>12600</v>
      </c>
      <c r="H479" s="1">
        <f t="shared" si="39"/>
        <v>28350</v>
      </c>
      <c r="I479" s="1">
        <f>MAX(0,Table1[[#This Row],[Agi]]-Table1[[#This Row],[Exemptions]]-Table1[[#This Row],[Effective Deductions]])</f>
        <v>180050</v>
      </c>
      <c r="J4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37399.5</v>
      </c>
      <c r="K479" s="1">
        <f t="shared" si="40"/>
        <v>5000</v>
      </c>
      <c r="L479" s="1">
        <f>IF(Table1[[#This Row],[Agi]]&gt;ctc_phase_out_begins,ctc_phase_out_rate*(Table1[[#This Row],[Agi]]-ctc_phase_out_begins),0)</f>
        <v>5550</v>
      </c>
      <c r="M479" s="1">
        <f>MAX(Table1[[#This Row],[Child Tax Credit]]-Table1[[#This Row],[Child Tax Credit Phase Out]],0)</f>
        <v>0</v>
      </c>
      <c r="N479" s="1">
        <f>MAX(Table1[[#This Row],[Regular Taxes Owed]]-Table1[[#This Row],[Effective Child Tax Credit]],0)</f>
        <v>37399.5</v>
      </c>
      <c r="O479" s="1">
        <f>MAX(MIN((Table1[[#This Row],[taxable wages]]-3000)*0.15,1000*num_kids_16_younger),0)</f>
        <v>5000</v>
      </c>
      <c r="P479" s="9">
        <f>IF(Table1[[#This Row],[Effective Child Tax Credit]]&gt;Table1[[#This Row],[Regular Taxes Owed]],Table1[[#This Row],[Additional Child Tax Credit ]]-Table1[[#This Row],[Regular Taxes Owed]],0)</f>
        <v>0</v>
      </c>
      <c r="Q4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79" s="1">
        <f>Table1[[#This Row],[Effective Additional Child Tax Credit]]+Table1[[#This Row],[Eitc]]</f>
        <v>0</v>
      </c>
      <c r="S479" s="9">
        <f>Table1[[#This Row],[Regular Taxes Owed - Effective Child Tax Credit]]-Table1[[#This Row],[Total Credits]]</f>
        <v>37399.5</v>
      </c>
      <c r="T479" s="9">
        <f>Table1[[#This Row],[taxable wages]]+interest+dividends+short_term_capital_gains+long_term_capital_gains-(charitable_donations+mortgage_interest)</f>
        <v>221000</v>
      </c>
      <c r="U479" s="9">
        <f>MAX(amt_exemption-amt_exemption_phase_out_rate*MAX(Table1[[#This Row],[taxable wages]]-amt_phase_out_begins,0),0)</f>
        <v>68475</v>
      </c>
      <c r="V4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39656.5</v>
      </c>
      <c r="W479" s="1">
        <f>IF(AND(Table1[[#This Row],[AMT Taxes]]&gt;Table1[[#This Row],[Regular Taxes Owed]],Table1[[#This Row],[AMT Taxes]]&gt;0),Table1[[#This Row],[AMT Taxes]]-Table1[[#This Row],[Regular Taxes Owed]],0)</f>
        <v>2257</v>
      </c>
      <c r="X479" s="9">
        <f>Table1[[#This Row],[Extra Taxes From Amt]]+Table1[[#This Row],[Federal Taxes Owed (No AMT)]]</f>
        <v>39656.5</v>
      </c>
      <c r="Y479" s="9">
        <f>IF(Table1[[#This Row],[taxable wages]]&gt;obamacare_surcharge_amount,obamacare_surcharge_percent*(Table1[[#This Row],[taxable wages]]-obamacare_surcharge_amount),0)</f>
        <v>0</v>
      </c>
      <c r="Z479" s="9">
        <f>Table1[[#This Row],[Federal Taxes Owed (Includes AMT)]]+Table1[[#This Row],[Obamacare surcharge premium]]</f>
        <v>39656.5</v>
      </c>
      <c r="AA479" s="9">
        <f>Table1[[#This Row],[taxable wages]]-Table1[[#This Row],[Federal Taxes Owed2]]</f>
        <v>181343.5</v>
      </c>
      <c r="AB479" s="51">
        <f t="shared" si="41"/>
        <v>0.32500000000000001</v>
      </c>
      <c r="AC479" s="41"/>
      <c r="AD479" s="13"/>
      <c r="AE479" s="13"/>
    </row>
    <row r="480" spans="2:31" x14ac:dyDescent="0.3">
      <c r="B480" s="41">
        <f t="shared" si="42"/>
        <v>221500</v>
      </c>
      <c r="C480" s="1">
        <f>Table1[[#This Row],[taxable wages]]</f>
        <v>221500</v>
      </c>
      <c r="D480" s="1">
        <f>Table1[[#This Row],[taxable wages]]+interest+dividends+short_term_capital_gains+long_term_capital_gains</f>
        <v>221500</v>
      </c>
      <c r="E480" s="1">
        <f>MAX(Table1[[#This Row],[earned income for EITC]:[Agi For Eitc Calc]])</f>
        <v>221500</v>
      </c>
      <c r="F480" s="1">
        <f>Table1[[#This Row],[taxable wages]]+interest+dividends+short_term_capital_gains+long_term_capital_gains-(trad_ira_contributions+MIN(student_loan_interest_cap,student_loan_interest))</f>
        <v>221500</v>
      </c>
      <c r="G480" s="1">
        <f t="shared" si="38"/>
        <v>12600</v>
      </c>
      <c r="H480" s="1">
        <f t="shared" si="39"/>
        <v>28350</v>
      </c>
      <c r="I480" s="1">
        <f>MAX(0,Table1[[#This Row],[Agi]]-Table1[[#This Row],[Exemptions]]-Table1[[#This Row],[Effective Deductions]])</f>
        <v>180550</v>
      </c>
      <c r="J4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37539.5</v>
      </c>
      <c r="K480" s="1">
        <f t="shared" si="40"/>
        <v>5000</v>
      </c>
      <c r="L480" s="1">
        <f>IF(Table1[[#This Row],[Agi]]&gt;ctc_phase_out_begins,ctc_phase_out_rate*(Table1[[#This Row],[Agi]]-ctc_phase_out_begins),0)</f>
        <v>5575</v>
      </c>
      <c r="M480" s="1">
        <f>MAX(Table1[[#This Row],[Child Tax Credit]]-Table1[[#This Row],[Child Tax Credit Phase Out]],0)</f>
        <v>0</v>
      </c>
      <c r="N480" s="1">
        <f>MAX(Table1[[#This Row],[Regular Taxes Owed]]-Table1[[#This Row],[Effective Child Tax Credit]],0)</f>
        <v>37539.5</v>
      </c>
      <c r="O480" s="1">
        <f>MAX(MIN((Table1[[#This Row],[taxable wages]]-3000)*0.15,1000*num_kids_16_younger),0)</f>
        <v>5000</v>
      </c>
      <c r="P480" s="9">
        <f>IF(Table1[[#This Row],[Effective Child Tax Credit]]&gt;Table1[[#This Row],[Regular Taxes Owed]],Table1[[#This Row],[Additional Child Tax Credit ]]-Table1[[#This Row],[Regular Taxes Owed]],0)</f>
        <v>0</v>
      </c>
      <c r="Q4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0" s="1">
        <f>Table1[[#This Row],[Effective Additional Child Tax Credit]]+Table1[[#This Row],[Eitc]]</f>
        <v>0</v>
      </c>
      <c r="S480" s="9">
        <f>Table1[[#This Row],[Regular Taxes Owed - Effective Child Tax Credit]]-Table1[[#This Row],[Total Credits]]</f>
        <v>37539.5</v>
      </c>
      <c r="T480" s="9">
        <f>Table1[[#This Row],[taxable wages]]+interest+dividends+short_term_capital_gains+long_term_capital_gains-(charitable_donations+mortgage_interest)</f>
        <v>221500</v>
      </c>
      <c r="U480" s="9">
        <f>MAX(amt_exemption-amt_exemption_phase_out_rate*MAX(Table1[[#This Row],[taxable wages]]-amt_phase_out_begins,0),0)</f>
        <v>68350</v>
      </c>
      <c r="V4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39819</v>
      </c>
      <c r="W480" s="1">
        <f>IF(AND(Table1[[#This Row],[AMT Taxes]]&gt;Table1[[#This Row],[Regular Taxes Owed]],Table1[[#This Row],[AMT Taxes]]&gt;0),Table1[[#This Row],[AMT Taxes]]-Table1[[#This Row],[Regular Taxes Owed]],0)</f>
        <v>2279.5</v>
      </c>
      <c r="X480" s="9">
        <f>Table1[[#This Row],[Extra Taxes From Amt]]+Table1[[#This Row],[Federal Taxes Owed (No AMT)]]</f>
        <v>39819</v>
      </c>
      <c r="Y480" s="9">
        <f>IF(Table1[[#This Row],[taxable wages]]&gt;obamacare_surcharge_amount,obamacare_surcharge_percent*(Table1[[#This Row],[taxable wages]]-obamacare_surcharge_amount),0)</f>
        <v>0</v>
      </c>
      <c r="Z480" s="9">
        <f>Table1[[#This Row],[Federal Taxes Owed (Includes AMT)]]+Table1[[#This Row],[Obamacare surcharge premium]]</f>
        <v>39819</v>
      </c>
      <c r="AA480" s="9">
        <f>Table1[[#This Row],[taxable wages]]-Table1[[#This Row],[Federal Taxes Owed2]]</f>
        <v>181681</v>
      </c>
      <c r="AB480" s="51">
        <f t="shared" si="41"/>
        <v>0.32500000000000001</v>
      </c>
      <c r="AC480" s="41"/>
      <c r="AD480" s="13"/>
      <c r="AE480" s="13"/>
    </row>
    <row r="481" spans="2:31" x14ac:dyDescent="0.3">
      <c r="B481" s="41">
        <f t="shared" si="42"/>
        <v>222000</v>
      </c>
      <c r="C481" s="1">
        <f>Table1[[#This Row],[taxable wages]]</f>
        <v>222000</v>
      </c>
      <c r="D481" s="1">
        <f>Table1[[#This Row],[taxable wages]]+interest+dividends+short_term_capital_gains+long_term_capital_gains</f>
        <v>222000</v>
      </c>
      <c r="E481" s="1">
        <f>MAX(Table1[[#This Row],[earned income for EITC]:[Agi For Eitc Calc]])</f>
        <v>222000</v>
      </c>
      <c r="F481" s="1">
        <f>Table1[[#This Row],[taxable wages]]+interest+dividends+short_term_capital_gains+long_term_capital_gains-(trad_ira_contributions+MIN(student_loan_interest_cap,student_loan_interest))</f>
        <v>222000</v>
      </c>
      <c r="G481" s="1">
        <f t="shared" si="38"/>
        <v>12600</v>
      </c>
      <c r="H481" s="1">
        <f t="shared" si="39"/>
        <v>28350</v>
      </c>
      <c r="I481" s="1">
        <f>MAX(0,Table1[[#This Row],[Agi]]-Table1[[#This Row],[Exemptions]]-Table1[[#This Row],[Effective Deductions]])</f>
        <v>181050</v>
      </c>
      <c r="J4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37679.5</v>
      </c>
      <c r="K481" s="1">
        <f t="shared" si="40"/>
        <v>5000</v>
      </c>
      <c r="L481" s="1">
        <f>IF(Table1[[#This Row],[Agi]]&gt;ctc_phase_out_begins,ctc_phase_out_rate*(Table1[[#This Row],[Agi]]-ctc_phase_out_begins),0)</f>
        <v>5600</v>
      </c>
      <c r="M481" s="1">
        <f>MAX(Table1[[#This Row],[Child Tax Credit]]-Table1[[#This Row],[Child Tax Credit Phase Out]],0)</f>
        <v>0</v>
      </c>
      <c r="N481" s="1">
        <f>MAX(Table1[[#This Row],[Regular Taxes Owed]]-Table1[[#This Row],[Effective Child Tax Credit]],0)</f>
        <v>37679.5</v>
      </c>
      <c r="O481" s="1">
        <f>MAX(MIN((Table1[[#This Row],[taxable wages]]-3000)*0.15,1000*num_kids_16_younger),0)</f>
        <v>5000</v>
      </c>
      <c r="P481" s="9">
        <f>IF(Table1[[#This Row],[Effective Child Tax Credit]]&gt;Table1[[#This Row],[Regular Taxes Owed]],Table1[[#This Row],[Additional Child Tax Credit ]]-Table1[[#This Row],[Regular Taxes Owed]],0)</f>
        <v>0</v>
      </c>
      <c r="Q4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1" s="1">
        <f>Table1[[#This Row],[Effective Additional Child Tax Credit]]+Table1[[#This Row],[Eitc]]</f>
        <v>0</v>
      </c>
      <c r="S481" s="9">
        <f>Table1[[#This Row],[Regular Taxes Owed - Effective Child Tax Credit]]-Table1[[#This Row],[Total Credits]]</f>
        <v>37679.5</v>
      </c>
      <c r="T481" s="9">
        <f>Table1[[#This Row],[taxable wages]]+interest+dividends+short_term_capital_gains+long_term_capital_gains-(charitable_donations+mortgage_interest)</f>
        <v>222000</v>
      </c>
      <c r="U481" s="9">
        <f>MAX(amt_exemption-amt_exemption_phase_out_rate*MAX(Table1[[#This Row],[taxable wages]]-amt_phase_out_begins,0),0)</f>
        <v>68225</v>
      </c>
      <c r="V4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39981.5</v>
      </c>
      <c r="W481" s="1">
        <f>IF(AND(Table1[[#This Row],[AMT Taxes]]&gt;Table1[[#This Row],[Regular Taxes Owed]],Table1[[#This Row],[AMT Taxes]]&gt;0),Table1[[#This Row],[AMT Taxes]]-Table1[[#This Row],[Regular Taxes Owed]],0)</f>
        <v>2302</v>
      </c>
      <c r="X481" s="9">
        <f>Table1[[#This Row],[Extra Taxes From Amt]]+Table1[[#This Row],[Federal Taxes Owed (No AMT)]]</f>
        <v>39981.5</v>
      </c>
      <c r="Y481" s="9">
        <f>IF(Table1[[#This Row],[taxable wages]]&gt;obamacare_surcharge_amount,obamacare_surcharge_percent*(Table1[[#This Row],[taxable wages]]-obamacare_surcharge_amount),0)</f>
        <v>0</v>
      </c>
      <c r="Z481" s="9">
        <f>Table1[[#This Row],[Federal Taxes Owed (Includes AMT)]]+Table1[[#This Row],[Obamacare surcharge premium]]</f>
        <v>39981.5</v>
      </c>
      <c r="AA481" s="9">
        <f>Table1[[#This Row],[taxable wages]]-Table1[[#This Row],[Federal Taxes Owed2]]</f>
        <v>182018.5</v>
      </c>
      <c r="AB481" s="51">
        <f t="shared" si="41"/>
        <v>0.32500000000000001</v>
      </c>
      <c r="AC481" s="41"/>
      <c r="AD481" s="13"/>
      <c r="AE481" s="13"/>
    </row>
    <row r="482" spans="2:31" x14ac:dyDescent="0.3">
      <c r="B482" s="41">
        <f t="shared" si="42"/>
        <v>222500</v>
      </c>
      <c r="C482" s="1">
        <f>Table1[[#This Row],[taxable wages]]</f>
        <v>222500</v>
      </c>
      <c r="D482" s="1">
        <f>Table1[[#This Row],[taxable wages]]+interest+dividends+short_term_capital_gains+long_term_capital_gains</f>
        <v>222500</v>
      </c>
      <c r="E482" s="1">
        <f>MAX(Table1[[#This Row],[earned income for EITC]:[Agi For Eitc Calc]])</f>
        <v>222500</v>
      </c>
      <c r="F482" s="1">
        <f>Table1[[#This Row],[taxable wages]]+interest+dividends+short_term_capital_gains+long_term_capital_gains-(trad_ira_contributions+MIN(student_loan_interest_cap,student_loan_interest))</f>
        <v>222500</v>
      </c>
      <c r="G482" s="1">
        <f t="shared" si="38"/>
        <v>12600</v>
      </c>
      <c r="H482" s="1">
        <f t="shared" si="39"/>
        <v>28350</v>
      </c>
      <c r="I482" s="1">
        <f>MAX(0,Table1[[#This Row],[Agi]]-Table1[[#This Row],[Exemptions]]-Table1[[#This Row],[Effective Deductions]])</f>
        <v>181550</v>
      </c>
      <c r="J4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37819.5</v>
      </c>
      <c r="K482" s="1">
        <f t="shared" si="40"/>
        <v>5000</v>
      </c>
      <c r="L482" s="1">
        <f>IF(Table1[[#This Row],[Agi]]&gt;ctc_phase_out_begins,ctc_phase_out_rate*(Table1[[#This Row],[Agi]]-ctc_phase_out_begins),0)</f>
        <v>5625</v>
      </c>
      <c r="M482" s="1">
        <f>MAX(Table1[[#This Row],[Child Tax Credit]]-Table1[[#This Row],[Child Tax Credit Phase Out]],0)</f>
        <v>0</v>
      </c>
      <c r="N482" s="1">
        <f>MAX(Table1[[#This Row],[Regular Taxes Owed]]-Table1[[#This Row],[Effective Child Tax Credit]],0)</f>
        <v>37819.5</v>
      </c>
      <c r="O482" s="1">
        <f>MAX(MIN((Table1[[#This Row],[taxable wages]]-3000)*0.15,1000*num_kids_16_younger),0)</f>
        <v>5000</v>
      </c>
      <c r="P482" s="9">
        <f>IF(Table1[[#This Row],[Effective Child Tax Credit]]&gt;Table1[[#This Row],[Regular Taxes Owed]],Table1[[#This Row],[Additional Child Tax Credit ]]-Table1[[#This Row],[Regular Taxes Owed]],0)</f>
        <v>0</v>
      </c>
      <c r="Q4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2" s="1">
        <f>Table1[[#This Row],[Effective Additional Child Tax Credit]]+Table1[[#This Row],[Eitc]]</f>
        <v>0</v>
      </c>
      <c r="S482" s="9">
        <f>Table1[[#This Row],[Regular Taxes Owed - Effective Child Tax Credit]]-Table1[[#This Row],[Total Credits]]</f>
        <v>37819.5</v>
      </c>
      <c r="T482" s="9">
        <f>Table1[[#This Row],[taxable wages]]+interest+dividends+short_term_capital_gains+long_term_capital_gains-(charitable_donations+mortgage_interest)</f>
        <v>222500</v>
      </c>
      <c r="U482" s="9">
        <f>MAX(amt_exemption-amt_exemption_phase_out_rate*MAX(Table1[[#This Row],[taxable wages]]-amt_phase_out_begins,0),0)</f>
        <v>68100</v>
      </c>
      <c r="V4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40144</v>
      </c>
      <c r="W482" s="1">
        <f>IF(AND(Table1[[#This Row],[AMT Taxes]]&gt;Table1[[#This Row],[Regular Taxes Owed]],Table1[[#This Row],[AMT Taxes]]&gt;0),Table1[[#This Row],[AMT Taxes]]-Table1[[#This Row],[Regular Taxes Owed]],0)</f>
        <v>2324.5</v>
      </c>
      <c r="X482" s="9">
        <f>Table1[[#This Row],[Extra Taxes From Amt]]+Table1[[#This Row],[Federal Taxes Owed (No AMT)]]</f>
        <v>40144</v>
      </c>
      <c r="Y482" s="9">
        <f>IF(Table1[[#This Row],[taxable wages]]&gt;obamacare_surcharge_amount,obamacare_surcharge_percent*(Table1[[#This Row],[taxable wages]]-obamacare_surcharge_amount),0)</f>
        <v>0</v>
      </c>
      <c r="Z482" s="9">
        <f>Table1[[#This Row],[Federal Taxes Owed (Includes AMT)]]+Table1[[#This Row],[Obamacare surcharge premium]]</f>
        <v>40144</v>
      </c>
      <c r="AA482" s="9">
        <f>Table1[[#This Row],[taxable wages]]-Table1[[#This Row],[Federal Taxes Owed2]]</f>
        <v>182356</v>
      </c>
      <c r="AB482" s="51">
        <f t="shared" si="41"/>
        <v>0.32500000000000001</v>
      </c>
      <c r="AC482" s="41"/>
      <c r="AD482" s="13"/>
      <c r="AE482" s="13"/>
    </row>
    <row r="483" spans="2:31" x14ac:dyDescent="0.3">
      <c r="B483" s="41">
        <f t="shared" si="42"/>
        <v>223000</v>
      </c>
      <c r="C483" s="1">
        <f>Table1[[#This Row],[taxable wages]]</f>
        <v>223000</v>
      </c>
      <c r="D483" s="1">
        <f>Table1[[#This Row],[taxable wages]]+interest+dividends+short_term_capital_gains+long_term_capital_gains</f>
        <v>223000</v>
      </c>
      <c r="E483" s="1">
        <f>MAX(Table1[[#This Row],[earned income for EITC]:[Agi For Eitc Calc]])</f>
        <v>223000</v>
      </c>
      <c r="F483" s="1">
        <f>Table1[[#This Row],[taxable wages]]+interest+dividends+short_term_capital_gains+long_term_capital_gains-(trad_ira_contributions+MIN(student_loan_interest_cap,student_loan_interest))</f>
        <v>223000</v>
      </c>
      <c r="G483" s="1">
        <f t="shared" si="38"/>
        <v>12600</v>
      </c>
      <c r="H483" s="1">
        <f t="shared" si="39"/>
        <v>28350</v>
      </c>
      <c r="I483" s="1">
        <f>MAX(0,Table1[[#This Row],[Agi]]-Table1[[#This Row],[Exemptions]]-Table1[[#This Row],[Effective Deductions]])</f>
        <v>182050</v>
      </c>
      <c r="J4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37959.5</v>
      </c>
      <c r="K483" s="1">
        <f t="shared" si="40"/>
        <v>5000</v>
      </c>
      <c r="L483" s="1">
        <f>IF(Table1[[#This Row],[Agi]]&gt;ctc_phase_out_begins,ctc_phase_out_rate*(Table1[[#This Row],[Agi]]-ctc_phase_out_begins),0)</f>
        <v>5650</v>
      </c>
      <c r="M483" s="1">
        <f>MAX(Table1[[#This Row],[Child Tax Credit]]-Table1[[#This Row],[Child Tax Credit Phase Out]],0)</f>
        <v>0</v>
      </c>
      <c r="N483" s="1">
        <f>MAX(Table1[[#This Row],[Regular Taxes Owed]]-Table1[[#This Row],[Effective Child Tax Credit]],0)</f>
        <v>37959.5</v>
      </c>
      <c r="O483" s="1">
        <f>MAX(MIN((Table1[[#This Row],[taxable wages]]-3000)*0.15,1000*num_kids_16_younger),0)</f>
        <v>5000</v>
      </c>
      <c r="P483" s="9">
        <f>IF(Table1[[#This Row],[Effective Child Tax Credit]]&gt;Table1[[#This Row],[Regular Taxes Owed]],Table1[[#This Row],[Additional Child Tax Credit ]]-Table1[[#This Row],[Regular Taxes Owed]],0)</f>
        <v>0</v>
      </c>
      <c r="Q4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3" s="1">
        <f>Table1[[#This Row],[Effective Additional Child Tax Credit]]+Table1[[#This Row],[Eitc]]</f>
        <v>0</v>
      </c>
      <c r="S483" s="9">
        <f>Table1[[#This Row],[Regular Taxes Owed - Effective Child Tax Credit]]-Table1[[#This Row],[Total Credits]]</f>
        <v>37959.5</v>
      </c>
      <c r="T483" s="9">
        <f>Table1[[#This Row],[taxable wages]]+interest+dividends+short_term_capital_gains+long_term_capital_gains-(charitable_donations+mortgage_interest)</f>
        <v>223000</v>
      </c>
      <c r="U483" s="9">
        <f>MAX(amt_exemption-amt_exemption_phase_out_rate*MAX(Table1[[#This Row],[taxable wages]]-amt_phase_out_begins,0),0)</f>
        <v>67975</v>
      </c>
      <c r="V4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40306.5</v>
      </c>
      <c r="W483" s="1">
        <f>IF(AND(Table1[[#This Row],[AMT Taxes]]&gt;Table1[[#This Row],[Regular Taxes Owed]],Table1[[#This Row],[AMT Taxes]]&gt;0),Table1[[#This Row],[AMT Taxes]]-Table1[[#This Row],[Regular Taxes Owed]],0)</f>
        <v>2347</v>
      </c>
      <c r="X483" s="9">
        <f>Table1[[#This Row],[Extra Taxes From Amt]]+Table1[[#This Row],[Federal Taxes Owed (No AMT)]]</f>
        <v>40306.5</v>
      </c>
      <c r="Y483" s="9">
        <f>IF(Table1[[#This Row],[taxable wages]]&gt;obamacare_surcharge_amount,obamacare_surcharge_percent*(Table1[[#This Row],[taxable wages]]-obamacare_surcharge_amount),0)</f>
        <v>0</v>
      </c>
      <c r="Z483" s="9">
        <f>Table1[[#This Row],[Federal Taxes Owed (Includes AMT)]]+Table1[[#This Row],[Obamacare surcharge premium]]</f>
        <v>40306.5</v>
      </c>
      <c r="AA483" s="9">
        <f>Table1[[#This Row],[taxable wages]]-Table1[[#This Row],[Federal Taxes Owed2]]</f>
        <v>182693.5</v>
      </c>
      <c r="AB483" s="51">
        <f t="shared" si="41"/>
        <v>0.32500000000000001</v>
      </c>
      <c r="AC483" s="41"/>
      <c r="AD483" s="13"/>
      <c r="AE483" s="13"/>
    </row>
    <row r="484" spans="2:31" x14ac:dyDescent="0.3">
      <c r="B484" s="41">
        <f t="shared" si="42"/>
        <v>223500</v>
      </c>
      <c r="C484" s="1">
        <f>Table1[[#This Row],[taxable wages]]</f>
        <v>223500</v>
      </c>
      <c r="D484" s="1">
        <f>Table1[[#This Row],[taxable wages]]+interest+dividends+short_term_capital_gains+long_term_capital_gains</f>
        <v>223500</v>
      </c>
      <c r="E484" s="1">
        <f>MAX(Table1[[#This Row],[earned income for EITC]:[Agi For Eitc Calc]])</f>
        <v>223500</v>
      </c>
      <c r="F484" s="1">
        <f>Table1[[#This Row],[taxable wages]]+interest+dividends+short_term_capital_gains+long_term_capital_gains-(trad_ira_contributions+MIN(student_loan_interest_cap,student_loan_interest))</f>
        <v>223500</v>
      </c>
      <c r="G484" s="1">
        <f t="shared" si="38"/>
        <v>12600</v>
      </c>
      <c r="H484" s="1">
        <f t="shared" si="39"/>
        <v>28350</v>
      </c>
      <c r="I484" s="1">
        <f>MAX(0,Table1[[#This Row],[Agi]]-Table1[[#This Row],[Exemptions]]-Table1[[#This Row],[Effective Deductions]])</f>
        <v>182550</v>
      </c>
      <c r="J4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38099.5</v>
      </c>
      <c r="K484" s="1">
        <f t="shared" si="40"/>
        <v>5000</v>
      </c>
      <c r="L484" s="1">
        <f>IF(Table1[[#This Row],[Agi]]&gt;ctc_phase_out_begins,ctc_phase_out_rate*(Table1[[#This Row],[Agi]]-ctc_phase_out_begins),0)</f>
        <v>5675</v>
      </c>
      <c r="M484" s="1">
        <f>MAX(Table1[[#This Row],[Child Tax Credit]]-Table1[[#This Row],[Child Tax Credit Phase Out]],0)</f>
        <v>0</v>
      </c>
      <c r="N484" s="1">
        <f>MAX(Table1[[#This Row],[Regular Taxes Owed]]-Table1[[#This Row],[Effective Child Tax Credit]],0)</f>
        <v>38099.5</v>
      </c>
      <c r="O484" s="1">
        <f>MAX(MIN((Table1[[#This Row],[taxable wages]]-3000)*0.15,1000*num_kids_16_younger),0)</f>
        <v>5000</v>
      </c>
      <c r="P484" s="9">
        <f>IF(Table1[[#This Row],[Effective Child Tax Credit]]&gt;Table1[[#This Row],[Regular Taxes Owed]],Table1[[#This Row],[Additional Child Tax Credit ]]-Table1[[#This Row],[Regular Taxes Owed]],0)</f>
        <v>0</v>
      </c>
      <c r="Q4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4" s="1">
        <f>Table1[[#This Row],[Effective Additional Child Tax Credit]]+Table1[[#This Row],[Eitc]]</f>
        <v>0</v>
      </c>
      <c r="S484" s="9">
        <f>Table1[[#This Row],[Regular Taxes Owed - Effective Child Tax Credit]]-Table1[[#This Row],[Total Credits]]</f>
        <v>38099.5</v>
      </c>
      <c r="T484" s="9">
        <f>Table1[[#This Row],[taxable wages]]+interest+dividends+short_term_capital_gains+long_term_capital_gains-(charitable_donations+mortgage_interest)</f>
        <v>223500</v>
      </c>
      <c r="U484" s="9">
        <f>MAX(amt_exemption-amt_exemption_phase_out_rate*MAX(Table1[[#This Row],[taxable wages]]-amt_phase_out_begins,0),0)</f>
        <v>67850</v>
      </c>
      <c r="V4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40469</v>
      </c>
      <c r="W484" s="1">
        <f>IF(AND(Table1[[#This Row],[AMT Taxes]]&gt;Table1[[#This Row],[Regular Taxes Owed]],Table1[[#This Row],[AMT Taxes]]&gt;0),Table1[[#This Row],[AMT Taxes]]-Table1[[#This Row],[Regular Taxes Owed]],0)</f>
        <v>2369.5</v>
      </c>
      <c r="X484" s="9">
        <f>Table1[[#This Row],[Extra Taxes From Amt]]+Table1[[#This Row],[Federal Taxes Owed (No AMT)]]</f>
        <v>40469</v>
      </c>
      <c r="Y484" s="9">
        <f>IF(Table1[[#This Row],[taxable wages]]&gt;obamacare_surcharge_amount,obamacare_surcharge_percent*(Table1[[#This Row],[taxable wages]]-obamacare_surcharge_amount),0)</f>
        <v>0</v>
      </c>
      <c r="Z484" s="9">
        <f>Table1[[#This Row],[Federal Taxes Owed (Includes AMT)]]+Table1[[#This Row],[Obamacare surcharge premium]]</f>
        <v>40469</v>
      </c>
      <c r="AA484" s="9">
        <f>Table1[[#This Row],[taxable wages]]-Table1[[#This Row],[Federal Taxes Owed2]]</f>
        <v>183031</v>
      </c>
      <c r="AB484" s="51">
        <f t="shared" si="41"/>
        <v>0.32500000000000001</v>
      </c>
      <c r="AC484" s="41"/>
      <c r="AD484" s="13"/>
      <c r="AE484" s="13"/>
    </row>
    <row r="485" spans="2:31" x14ac:dyDescent="0.3">
      <c r="B485" s="41">
        <f t="shared" si="42"/>
        <v>224000</v>
      </c>
      <c r="C485" s="1">
        <f>Table1[[#This Row],[taxable wages]]</f>
        <v>224000</v>
      </c>
      <c r="D485" s="1">
        <f>Table1[[#This Row],[taxable wages]]+interest+dividends+short_term_capital_gains+long_term_capital_gains</f>
        <v>224000</v>
      </c>
      <c r="E485" s="1">
        <f>MAX(Table1[[#This Row],[earned income for EITC]:[Agi For Eitc Calc]])</f>
        <v>224000</v>
      </c>
      <c r="F485" s="1">
        <f>Table1[[#This Row],[taxable wages]]+interest+dividends+short_term_capital_gains+long_term_capital_gains-(trad_ira_contributions+MIN(student_loan_interest_cap,student_loan_interest))</f>
        <v>224000</v>
      </c>
      <c r="G485" s="1">
        <f t="shared" si="38"/>
        <v>12600</v>
      </c>
      <c r="H485" s="1">
        <f t="shared" si="39"/>
        <v>28350</v>
      </c>
      <c r="I485" s="1">
        <f>MAX(0,Table1[[#This Row],[Agi]]-Table1[[#This Row],[Exemptions]]-Table1[[#This Row],[Effective Deductions]])</f>
        <v>183050</v>
      </c>
      <c r="J4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38239.5</v>
      </c>
      <c r="K485" s="1">
        <f t="shared" si="40"/>
        <v>5000</v>
      </c>
      <c r="L485" s="1">
        <f>IF(Table1[[#This Row],[Agi]]&gt;ctc_phase_out_begins,ctc_phase_out_rate*(Table1[[#This Row],[Agi]]-ctc_phase_out_begins),0)</f>
        <v>5700</v>
      </c>
      <c r="M485" s="1">
        <f>MAX(Table1[[#This Row],[Child Tax Credit]]-Table1[[#This Row],[Child Tax Credit Phase Out]],0)</f>
        <v>0</v>
      </c>
      <c r="N485" s="1">
        <f>MAX(Table1[[#This Row],[Regular Taxes Owed]]-Table1[[#This Row],[Effective Child Tax Credit]],0)</f>
        <v>38239.5</v>
      </c>
      <c r="O485" s="1">
        <f>MAX(MIN((Table1[[#This Row],[taxable wages]]-3000)*0.15,1000*num_kids_16_younger),0)</f>
        <v>5000</v>
      </c>
      <c r="P485" s="9">
        <f>IF(Table1[[#This Row],[Effective Child Tax Credit]]&gt;Table1[[#This Row],[Regular Taxes Owed]],Table1[[#This Row],[Additional Child Tax Credit ]]-Table1[[#This Row],[Regular Taxes Owed]],0)</f>
        <v>0</v>
      </c>
      <c r="Q4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5" s="1">
        <f>Table1[[#This Row],[Effective Additional Child Tax Credit]]+Table1[[#This Row],[Eitc]]</f>
        <v>0</v>
      </c>
      <c r="S485" s="9">
        <f>Table1[[#This Row],[Regular Taxes Owed - Effective Child Tax Credit]]-Table1[[#This Row],[Total Credits]]</f>
        <v>38239.5</v>
      </c>
      <c r="T485" s="9">
        <f>Table1[[#This Row],[taxable wages]]+interest+dividends+short_term_capital_gains+long_term_capital_gains-(charitable_donations+mortgage_interest)</f>
        <v>224000</v>
      </c>
      <c r="U485" s="9">
        <f>MAX(amt_exemption-amt_exemption_phase_out_rate*MAX(Table1[[#This Row],[taxable wages]]-amt_phase_out_begins,0),0)</f>
        <v>67725</v>
      </c>
      <c r="V4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40631.5</v>
      </c>
      <c r="W485" s="1">
        <f>IF(AND(Table1[[#This Row],[AMT Taxes]]&gt;Table1[[#This Row],[Regular Taxes Owed]],Table1[[#This Row],[AMT Taxes]]&gt;0),Table1[[#This Row],[AMT Taxes]]-Table1[[#This Row],[Regular Taxes Owed]],0)</f>
        <v>2392</v>
      </c>
      <c r="X485" s="9">
        <f>Table1[[#This Row],[Extra Taxes From Amt]]+Table1[[#This Row],[Federal Taxes Owed (No AMT)]]</f>
        <v>40631.5</v>
      </c>
      <c r="Y485" s="9">
        <f>IF(Table1[[#This Row],[taxable wages]]&gt;obamacare_surcharge_amount,obamacare_surcharge_percent*(Table1[[#This Row],[taxable wages]]-obamacare_surcharge_amount),0)</f>
        <v>0</v>
      </c>
      <c r="Z485" s="9">
        <f>Table1[[#This Row],[Federal Taxes Owed (Includes AMT)]]+Table1[[#This Row],[Obamacare surcharge premium]]</f>
        <v>40631.5</v>
      </c>
      <c r="AA485" s="9">
        <f>Table1[[#This Row],[taxable wages]]-Table1[[#This Row],[Federal Taxes Owed2]]</f>
        <v>183368.5</v>
      </c>
      <c r="AB485" s="51">
        <f t="shared" si="41"/>
        <v>0.32500000000000001</v>
      </c>
      <c r="AC485" s="41"/>
      <c r="AD485" s="13"/>
      <c r="AE485" s="13"/>
    </row>
    <row r="486" spans="2:31" x14ac:dyDescent="0.3">
      <c r="B486" s="41">
        <f t="shared" si="42"/>
        <v>224500</v>
      </c>
      <c r="C486" s="1">
        <f>Table1[[#This Row],[taxable wages]]</f>
        <v>224500</v>
      </c>
      <c r="D486" s="1">
        <f>Table1[[#This Row],[taxable wages]]+interest+dividends+short_term_capital_gains+long_term_capital_gains</f>
        <v>224500</v>
      </c>
      <c r="E486" s="1">
        <f>MAX(Table1[[#This Row],[earned income for EITC]:[Agi For Eitc Calc]])</f>
        <v>224500</v>
      </c>
      <c r="F486" s="1">
        <f>Table1[[#This Row],[taxable wages]]+interest+dividends+short_term_capital_gains+long_term_capital_gains-(trad_ira_contributions+MIN(student_loan_interest_cap,student_loan_interest))</f>
        <v>224500</v>
      </c>
      <c r="G486" s="1">
        <f t="shared" ref="G486:G549" si="43">MAX(standard_deduction,mortgage_interest+real_estate_property_taxes+state_income_tax_paid+charitable_donations+medical_expenses)</f>
        <v>12600</v>
      </c>
      <c r="H486" s="1">
        <f t="shared" ref="H486:H549" si="44">num_people_in_family*personal_exemption</f>
        <v>28350</v>
      </c>
      <c r="I486" s="1">
        <f>MAX(0,Table1[[#This Row],[Agi]]-Table1[[#This Row],[Exemptions]]-Table1[[#This Row],[Effective Deductions]])</f>
        <v>183550</v>
      </c>
      <c r="J4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38379.5</v>
      </c>
      <c r="K486" s="1">
        <f t="shared" ref="K486:K549" si="45">child_tax_credit*num_kids_16_younger</f>
        <v>5000</v>
      </c>
      <c r="L486" s="1">
        <f>IF(Table1[[#This Row],[Agi]]&gt;ctc_phase_out_begins,ctc_phase_out_rate*(Table1[[#This Row],[Agi]]-ctc_phase_out_begins),0)</f>
        <v>5725</v>
      </c>
      <c r="M486" s="1">
        <f>MAX(Table1[[#This Row],[Child Tax Credit]]-Table1[[#This Row],[Child Tax Credit Phase Out]],0)</f>
        <v>0</v>
      </c>
      <c r="N486" s="1">
        <f>MAX(Table1[[#This Row],[Regular Taxes Owed]]-Table1[[#This Row],[Effective Child Tax Credit]],0)</f>
        <v>38379.5</v>
      </c>
      <c r="O486" s="1">
        <f>MAX(MIN((Table1[[#This Row],[taxable wages]]-3000)*0.15,1000*num_kids_16_younger),0)</f>
        <v>5000</v>
      </c>
      <c r="P486" s="9">
        <f>IF(Table1[[#This Row],[Effective Child Tax Credit]]&gt;Table1[[#This Row],[Regular Taxes Owed]],Table1[[#This Row],[Additional Child Tax Credit ]]-Table1[[#This Row],[Regular Taxes Owed]],0)</f>
        <v>0</v>
      </c>
      <c r="Q4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6" s="1">
        <f>Table1[[#This Row],[Effective Additional Child Tax Credit]]+Table1[[#This Row],[Eitc]]</f>
        <v>0</v>
      </c>
      <c r="S486" s="9">
        <f>Table1[[#This Row],[Regular Taxes Owed - Effective Child Tax Credit]]-Table1[[#This Row],[Total Credits]]</f>
        <v>38379.5</v>
      </c>
      <c r="T486" s="9">
        <f>Table1[[#This Row],[taxable wages]]+interest+dividends+short_term_capital_gains+long_term_capital_gains-(charitable_donations+mortgage_interest)</f>
        <v>224500</v>
      </c>
      <c r="U486" s="9">
        <f>MAX(amt_exemption-amt_exemption_phase_out_rate*MAX(Table1[[#This Row],[taxable wages]]-amt_phase_out_begins,0),0)</f>
        <v>67600</v>
      </c>
      <c r="V4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40794</v>
      </c>
      <c r="W486" s="1">
        <f>IF(AND(Table1[[#This Row],[AMT Taxes]]&gt;Table1[[#This Row],[Regular Taxes Owed]],Table1[[#This Row],[AMT Taxes]]&gt;0),Table1[[#This Row],[AMT Taxes]]-Table1[[#This Row],[Regular Taxes Owed]],0)</f>
        <v>2414.5</v>
      </c>
      <c r="X486" s="9">
        <f>Table1[[#This Row],[Extra Taxes From Amt]]+Table1[[#This Row],[Federal Taxes Owed (No AMT)]]</f>
        <v>40794</v>
      </c>
      <c r="Y486" s="9">
        <f>IF(Table1[[#This Row],[taxable wages]]&gt;obamacare_surcharge_amount,obamacare_surcharge_percent*(Table1[[#This Row],[taxable wages]]-obamacare_surcharge_amount),0)</f>
        <v>0</v>
      </c>
      <c r="Z486" s="9">
        <f>Table1[[#This Row],[Federal Taxes Owed (Includes AMT)]]+Table1[[#This Row],[Obamacare surcharge premium]]</f>
        <v>40794</v>
      </c>
      <c r="AA486" s="9">
        <f>Table1[[#This Row],[taxable wages]]-Table1[[#This Row],[Federal Taxes Owed2]]</f>
        <v>183706</v>
      </c>
      <c r="AB486" s="51">
        <f t="shared" si="41"/>
        <v>0.32500000000000001</v>
      </c>
      <c r="AC486" s="41"/>
      <c r="AD486" s="13"/>
      <c r="AE486" s="13"/>
    </row>
    <row r="487" spans="2:31" x14ac:dyDescent="0.3">
      <c r="B487" s="41">
        <f t="shared" si="42"/>
        <v>225000</v>
      </c>
      <c r="C487" s="1">
        <f>Table1[[#This Row],[taxable wages]]</f>
        <v>225000</v>
      </c>
      <c r="D487" s="1">
        <f>Table1[[#This Row],[taxable wages]]+interest+dividends+short_term_capital_gains+long_term_capital_gains</f>
        <v>225000</v>
      </c>
      <c r="E487" s="1">
        <f>MAX(Table1[[#This Row],[earned income for EITC]:[Agi For Eitc Calc]])</f>
        <v>225000</v>
      </c>
      <c r="F487" s="1">
        <f>Table1[[#This Row],[taxable wages]]+interest+dividends+short_term_capital_gains+long_term_capital_gains-(trad_ira_contributions+MIN(student_loan_interest_cap,student_loan_interest))</f>
        <v>225000</v>
      </c>
      <c r="G487" s="1">
        <f t="shared" si="43"/>
        <v>12600</v>
      </c>
      <c r="H487" s="1">
        <f t="shared" si="44"/>
        <v>28350</v>
      </c>
      <c r="I487" s="1">
        <f>MAX(0,Table1[[#This Row],[Agi]]-Table1[[#This Row],[Exemptions]]-Table1[[#This Row],[Effective Deductions]])</f>
        <v>184050</v>
      </c>
      <c r="J4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38519.5</v>
      </c>
      <c r="K487" s="1">
        <f t="shared" si="45"/>
        <v>5000</v>
      </c>
      <c r="L487" s="1">
        <f>IF(Table1[[#This Row],[Agi]]&gt;ctc_phase_out_begins,ctc_phase_out_rate*(Table1[[#This Row],[Agi]]-ctc_phase_out_begins),0)</f>
        <v>5750</v>
      </c>
      <c r="M487" s="1">
        <f>MAX(Table1[[#This Row],[Child Tax Credit]]-Table1[[#This Row],[Child Tax Credit Phase Out]],0)</f>
        <v>0</v>
      </c>
      <c r="N487" s="1">
        <f>MAX(Table1[[#This Row],[Regular Taxes Owed]]-Table1[[#This Row],[Effective Child Tax Credit]],0)</f>
        <v>38519.5</v>
      </c>
      <c r="O487" s="1">
        <f>MAX(MIN((Table1[[#This Row],[taxable wages]]-3000)*0.15,1000*num_kids_16_younger),0)</f>
        <v>5000</v>
      </c>
      <c r="P487" s="9">
        <f>IF(Table1[[#This Row],[Effective Child Tax Credit]]&gt;Table1[[#This Row],[Regular Taxes Owed]],Table1[[#This Row],[Additional Child Tax Credit ]]-Table1[[#This Row],[Regular Taxes Owed]],0)</f>
        <v>0</v>
      </c>
      <c r="Q4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7" s="1">
        <f>Table1[[#This Row],[Effective Additional Child Tax Credit]]+Table1[[#This Row],[Eitc]]</f>
        <v>0</v>
      </c>
      <c r="S487" s="9">
        <f>Table1[[#This Row],[Regular Taxes Owed - Effective Child Tax Credit]]-Table1[[#This Row],[Total Credits]]</f>
        <v>38519.5</v>
      </c>
      <c r="T487" s="9">
        <f>Table1[[#This Row],[taxable wages]]+interest+dividends+short_term_capital_gains+long_term_capital_gains-(charitable_donations+mortgage_interest)</f>
        <v>225000</v>
      </c>
      <c r="U487" s="9">
        <f>MAX(amt_exemption-amt_exemption_phase_out_rate*MAX(Table1[[#This Row],[taxable wages]]-amt_phase_out_begins,0),0)</f>
        <v>67475</v>
      </c>
      <c r="V4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40956.5</v>
      </c>
      <c r="W487" s="1">
        <f>IF(AND(Table1[[#This Row],[AMT Taxes]]&gt;Table1[[#This Row],[Regular Taxes Owed]],Table1[[#This Row],[AMT Taxes]]&gt;0),Table1[[#This Row],[AMT Taxes]]-Table1[[#This Row],[Regular Taxes Owed]],0)</f>
        <v>2437</v>
      </c>
      <c r="X487" s="9">
        <f>Table1[[#This Row],[Extra Taxes From Amt]]+Table1[[#This Row],[Federal Taxes Owed (No AMT)]]</f>
        <v>40956.5</v>
      </c>
      <c r="Y487" s="9">
        <f>IF(Table1[[#This Row],[taxable wages]]&gt;obamacare_surcharge_amount,obamacare_surcharge_percent*(Table1[[#This Row],[taxable wages]]-obamacare_surcharge_amount),0)</f>
        <v>0</v>
      </c>
      <c r="Z487" s="9">
        <f>Table1[[#This Row],[Federal Taxes Owed (Includes AMT)]]+Table1[[#This Row],[Obamacare surcharge premium]]</f>
        <v>40956.5</v>
      </c>
      <c r="AA487" s="9">
        <f>Table1[[#This Row],[taxable wages]]-Table1[[#This Row],[Federal Taxes Owed2]]</f>
        <v>184043.5</v>
      </c>
      <c r="AB487" s="51">
        <f t="shared" ref="AB487:AB550" si="46">(Z487-Z486)/(B487-B486)</f>
        <v>0.32500000000000001</v>
      </c>
      <c r="AC487" s="41"/>
      <c r="AD487" s="13"/>
      <c r="AE487" s="13"/>
    </row>
    <row r="488" spans="2:31" x14ac:dyDescent="0.3">
      <c r="B488" s="41">
        <f t="shared" ref="B488:B551" si="47">B487+500</f>
        <v>225500</v>
      </c>
      <c r="C488" s="1">
        <f>Table1[[#This Row],[taxable wages]]</f>
        <v>225500</v>
      </c>
      <c r="D488" s="1">
        <f>Table1[[#This Row],[taxable wages]]+interest+dividends+short_term_capital_gains+long_term_capital_gains</f>
        <v>225500</v>
      </c>
      <c r="E488" s="1">
        <f>MAX(Table1[[#This Row],[earned income for EITC]:[Agi For Eitc Calc]])</f>
        <v>225500</v>
      </c>
      <c r="F488" s="1">
        <f>Table1[[#This Row],[taxable wages]]+interest+dividends+short_term_capital_gains+long_term_capital_gains-(trad_ira_contributions+MIN(student_loan_interest_cap,student_loan_interest))</f>
        <v>225500</v>
      </c>
      <c r="G488" s="1">
        <f t="shared" si="43"/>
        <v>12600</v>
      </c>
      <c r="H488" s="1">
        <f t="shared" si="44"/>
        <v>28350</v>
      </c>
      <c r="I488" s="1">
        <f>MAX(0,Table1[[#This Row],[Agi]]-Table1[[#This Row],[Exemptions]]-Table1[[#This Row],[Effective Deductions]])</f>
        <v>184550</v>
      </c>
      <c r="J4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38659.5</v>
      </c>
      <c r="K488" s="1">
        <f t="shared" si="45"/>
        <v>5000</v>
      </c>
      <c r="L488" s="1">
        <f>IF(Table1[[#This Row],[Agi]]&gt;ctc_phase_out_begins,ctc_phase_out_rate*(Table1[[#This Row],[Agi]]-ctc_phase_out_begins),0)</f>
        <v>5775</v>
      </c>
      <c r="M488" s="1">
        <f>MAX(Table1[[#This Row],[Child Tax Credit]]-Table1[[#This Row],[Child Tax Credit Phase Out]],0)</f>
        <v>0</v>
      </c>
      <c r="N488" s="1">
        <f>MAX(Table1[[#This Row],[Regular Taxes Owed]]-Table1[[#This Row],[Effective Child Tax Credit]],0)</f>
        <v>38659.5</v>
      </c>
      <c r="O488" s="1">
        <f>MAX(MIN((Table1[[#This Row],[taxable wages]]-3000)*0.15,1000*num_kids_16_younger),0)</f>
        <v>5000</v>
      </c>
      <c r="P488" s="9">
        <f>IF(Table1[[#This Row],[Effective Child Tax Credit]]&gt;Table1[[#This Row],[Regular Taxes Owed]],Table1[[#This Row],[Additional Child Tax Credit ]]-Table1[[#This Row],[Regular Taxes Owed]],0)</f>
        <v>0</v>
      </c>
      <c r="Q4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8" s="1">
        <f>Table1[[#This Row],[Effective Additional Child Tax Credit]]+Table1[[#This Row],[Eitc]]</f>
        <v>0</v>
      </c>
      <c r="S488" s="9">
        <f>Table1[[#This Row],[Regular Taxes Owed - Effective Child Tax Credit]]-Table1[[#This Row],[Total Credits]]</f>
        <v>38659.5</v>
      </c>
      <c r="T488" s="9">
        <f>Table1[[#This Row],[taxable wages]]+interest+dividends+short_term_capital_gains+long_term_capital_gains-(charitable_donations+mortgage_interest)</f>
        <v>225500</v>
      </c>
      <c r="U488" s="9">
        <f>MAX(amt_exemption-amt_exemption_phase_out_rate*MAX(Table1[[#This Row],[taxable wages]]-amt_phase_out_begins,0),0)</f>
        <v>67350</v>
      </c>
      <c r="V4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41119</v>
      </c>
      <c r="W488" s="1">
        <f>IF(AND(Table1[[#This Row],[AMT Taxes]]&gt;Table1[[#This Row],[Regular Taxes Owed]],Table1[[#This Row],[AMT Taxes]]&gt;0),Table1[[#This Row],[AMT Taxes]]-Table1[[#This Row],[Regular Taxes Owed]],0)</f>
        <v>2459.5</v>
      </c>
      <c r="X488" s="9">
        <f>Table1[[#This Row],[Extra Taxes From Amt]]+Table1[[#This Row],[Federal Taxes Owed (No AMT)]]</f>
        <v>41119</v>
      </c>
      <c r="Y488" s="9">
        <f>IF(Table1[[#This Row],[taxable wages]]&gt;obamacare_surcharge_amount,obamacare_surcharge_percent*(Table1[[#This Row],[taxable wages]]-obamacare_surcharge_amount),0)</f>
        <v>0</v>
      </c>
      <c r="Z488" s="9">
        <f>Table1[[#This Row],[Federal Taxes Owed (Includes AMT)]]+Table1[[#This Row],[Obamacare surcharge premium]]</f>
        <v>41119</v>
      </c>
      <c r="AA488" s="9">
        <f>Table1[[#This Row],[taxable wages]]-Table1[[#This Row],[Federal Taxes Owed2]]</f>
        <v>184381</v>
      </c>
      <c r="AB488" s="51">
        <f t="shared" si="46"/>
        <v>0.32500000000000001</v>
      </c>
      <c r="AC488" s="41"/>
      <c r="AD488" s="13"/>
      <c r="AE488" s="13"/>
    </row>
    <row r="489" spans="2:31" x14ac:dyDescent="0.3">
      <c r="B489" s="41">
        <f t="shared" si="47"/>
        <v>226000</v>
      </c>
      <c r="C489" s="1">
        <f>Table1[[#This Row],[taxable wages]]</f>
        <v>226000</v>
      </c>
      <c r="D489" s="1">
        <f>Table1[[#This Row],[taxable wages]]+interest+dividends+short_term_capital_gains+long_term_capital_gains</f>
        <v>226000</v>
      </c>
      <c r="E489" s="1">
        <f>MAX(Table1[[#This Row],[earned income for EITC]:[Agi For Eitc Calc]])</f>
        <v>226000</v>
      </c>
      <c r="F489" s="1">
        <f>Table1[[#This Row],[taxable wages]]+interest+dividends+short_term_capital_gains+long_term_capital_gains-(trad_ira_contributions+MIN(student_loan_interest_cap,student_loan_interest))</f>
        <v>226000</v>
      </c>
      <c r="G489" s="1">
        <f t="shared" si="43"/>
        <v>12600</v>
      </c>
      <c r="H489" s="1">
        <f t="shared" si="44"/>
        <v>28350</v>
      </c>
      <c r="I489" s="1">
        <f>MAX(0,Table1[[#This Row],[Agi]]-Table1[[#This Row],[Exemptions]]-Table1[[#This Row],[Effective Deductions]])</f>
        <v>185050</v>
      </c>
      <c r="J4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38799.5</v>
      </c>
      <c r="K489" s="1">
        <f t="shared" si="45"/>
        <v>5000</v>
      </c>
      <c r="L489" s="1">
        <f>IF(Table1[[#This Row],[Agi]]&gt;ctc_phase_out_begins,ctc_phase_out_rate*(Table1[[#This Row],[Agi]]-ctc_phase_out_begins),0)</f>
        <v>5800</v>
      </c>
      <c r="M489" s="1">
        <f>MAX(Table1[[#This Row],[Child Tax Credit]]-Table1[[#This Row],[Child Tax Credit Phase Out]],0)</f>
        <v>0</v>
      </c>
      <c r="N489" s="1">
        <f>MAX(Table1[[#This Row],[Regular Taxes Owed]]-Table1[[#This Row],[Effective Child Tax Credit]],0)</f>
        <v>38799.5</v>
      </c>
      <c r="O489" s="1">
        <f>MAX(MIN((Table1[[#This Row],[taxable wages]]-3000)*0.15,1000*num_kids_16_younger),0)</f>
        <v>5000</v>
      </c>
      <c r="P489" s="9">
        <f>IF(Table1[[#This Row],[Effective Child Tax Credit]]&gt;Table1[[#This Row],[Regular Taxes Owed]],Table1[[#This Row],[Additional Child Tax Credit ]]-Table1[[#This Row],[Regular Taxes Owed]],0)</f>
        <v>0</v>
      </c>
      <c r="Q4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89" s="1">
        <f>Table1[[#This Row],[Effective Additional Child Tax Credit]]+Table1[[#This Row],[Eitc]]</f>
        <v>0</v>
      </c>
      <c r="S489" s="9">
        <f>Table1[[#This Row],[Regular Taxes Owed - Effective Child Tax Credit]]-Table1[[#This Row],[Total Credits]]</f>
        <v>38799.5</v>
      </c>
      <c r="T489" s="9">
        <f>Table1[[#This Row],[taxable wages]]+interest+dividends+short_term_capital_gains+long_term_capital_gains-(charitable_donations+mortgage_interest)</f>
        <v>226000</v>
      </c>
      <c r="U489" s="9">
        <f>MAX(amt_exemption-amt_exemption_phase_out_rate*MAX(Table1[[#This Row],[taxable wages]]-amt_phase_out_begins,0),0)</f>
        <v>67225</v>
      </c>
      <c r="V4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41281.5</v>
      </c>
      <c r="W489" s="1">
        <f>IF(AND(Table1[[#This Row],[AMT Taxes]]&gt;Table1[[#This Row],[Regular Taxes Owed]],Table1[[#This Row],[AMT Taxes]]&gt;0),Table1[[#This Row],[AMT Taxes]]-Table1[[#This Row],[Regular Taxes Owed]],0)</f>
        <v>2482</v>
      </c>
      <c r="X489" s="9">
        <f>Table1[[#This Row],[Extra Taxes From Amt]]+Table1[[#This Row],[Federal Taxes Owed (No AMT)]]</f>
        <v>41281.5</v>
      </c>
      <c r="Y489" s="9">
        <f>IF(Table1[[#This Row],[taxable wages]]&gt;obamacare_surcharge_amount,obamacare_surcharge_percent*(Table1[[#This Row],[taxable wages]]-obamacare_surcharge_amount),0)</f>
        <v>0</v>
      </c>
      <c r="Z489" s="9">
        <f>Table1[[#This Row],[Federal Taxes Owed (Includes AMT)]]+Table1[[#This Row],[Obamacare surcharge premium]]</f>
        <v>41281.5</v>
      </c>
      <c r="AA489" s="9">
        <f>Table1[[#This Row],[taxable wages]]-Table1[[#This Row],[Federal Taxes Owed2]]</f>
        <v>184718.5</v>
      </c>
      <c r="AB489" s="51">
        <f t="shared" si="46"/>
        <v>0.32500000000000001</v>
      </c>
      <c r="AC489" s="41"/>
      <c r="AD489" s="13"/>
      <c r="AE489" s="13"/>
    </row>
    <row r="490" spans="2:31" x14ac:dyDescent="0.3">
      <c r="B490" s="41">
        <f t="shared" si="47"/>
        <v>226500</v>
      </c>
      <c r="C490" s="1">
        <f>Table1[[#This Row],[taxable wages]]</f>
        <v>226500</v>
      </c>
      <c r="D490" s="1">
        <f>Table1[[#This Row],[taxable wages]]+interest+dividends+short_term_capital_gains+long_term_capital_gains</f>
        <v>226500</v>
      </c>
      <c r="E490" s="1">
        <f>MAX(Table1[[#This Row],[earned income for EITC]:[Agi For Eitc Calc]])</f>
        <v>226500</v>
      </c>
      <c r="F490" s="1">
        <f>Table1[[#This Row],[taxable wages]]+interest+dividends+short_term_capital_gains+long_term_capital_gains-(trad_ira_contributions+MIN(student_loan_interest_cap,student_loan_interest))</f>
        <v>226500</v>
      </c>
      <c r="G490" s="1">
        <f t="shared" si="43"/>
        <v>12600</v>
      </c>
      <c r="H490" s="1">
        <f t="shared" si="44"/>
        <v>28350</v>
      </c>
      <c r="I490" s="1">
        <f>MAX(0,Table1[[#This Row],[Agi]]-Table1[[#This Row],[Exemptions]]-Table1[[#This Row],[Effective Deductions]])</f>
        <v>185550</v>
      </c>
      <c r="J4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38939.5</v>
      </c>
      <c r="K490" s="1">
        <f t="shared" si="45"/>
        <v>5000</v>
      </c>
      <c r="L490" s="1">
        <f>IF(Table1[[#This Row],[Agi]]&gt;ctc_phase_out_begins,ctc_phase_out_rate*(Table1[[#This Row],[Agi]]-ctc_phase_out_begins),0)</f>
        <v>5825</v>
      </c>
      <c r="M490" s="1">
        <f>MAX(Table1[[#This Row],[Child Tax Credit]]-Table1[[#This Row],[Child Tax Credit Phase Out]],0)</f>
        <v>0</v>
      </c>
      <c r="N490" s="1">
        <f>MAX(Table1[[#This Row],[Regular Taxes Owed]]-Table1[[#This Row],[Effective Child Tax Credit]],0)</f>
        <v>38939.5</v>
      </c>
      <c r="O490" s="1">
        <f>MAX(MIN((Table1[[#This Row],[taxable wages]]-3000)*0.15,1000*num_kids_16_younger),0)</f>
        <v>5000</v>
      </c>
      <c r="P490" s="9">
        <f>IF(Table1[[#This Row],[Effective Child Tax Credit]]&gt;Table1[[#This Row],[Regular Taxes Owed]],Table1[[#This Row],[Additional Child Tax Credit ]]-Table1[[#This Row],[Regular Taxes Owed]],0)</f>
        <v>0</v>
      </c>
      <c r="Q4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0" s="1">
        <f>Table1[[#This Row],[Effective Additional Child Tax Credit]]+Table1[[#This Row],[Eitc]]</f>
        <v>0</v>
      </c>
      <c r="S490" s="9">
        <f>Table1[[#This Row],[Regular Taxes Owed - Effective Child Tax Credit]]-Table1[[#This Row],[Total Credits]]</f>
        <v>38939.5</v>
      </c>
      <c r="T490" s="9">
        <f>Table1[[#This Row],[taxable wages]]+interest+dividends+short_term_capital_gains+long_term_capital_gains-(charitable_donations+mortgage_interest)</f>
        <v>226500</v>
      </c>
      <c r="U490" s="9">
        <f>MAX(amt_exemption-amt_exemption_phase_out_rate*MAX(Table1[[#This Row],[taxable wages]]-amt_phase_out_begins,0),0)</f>
        <v>67100</v>
      </c>
      <c r="V4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41444</v>
      </c>
      <c r="W490" s="1">
        <f>IF(AND(Table1[[#This Row],[AMT Taxes]]&gt;Table1[[#This Row],[Regular Taxes Owed]],Table1[[#This Row],[AMT Taxes]]&gt;0),Table1[[#This Row],[AMT Taxes]]-Table1[[#This Row],[Regular Taxes Owed]],0)</f>
        <v>2504.5</v>
      </c>
      <c r="X490" s="9">
        <f>Table1[[#This Row],[Extra Taxes From Amt]]+Table1[[#This Row],[Federal Taxes Owed (No AMT)]]</f>
        <v>41444</v>
      </c>
      <c r="Y490" s="9">
        <f>IF(Table1[[#This Row],[taxable wages]]&gt;obamacare_surcharge_amount,obamacare_surcharge_percent*(Table1[[#This Row],[taxable wages]]-obamacare_surcharge_amount),0)</f>
        <v>0</v>
      </c>
      <c r="Z490" s="9">
        <f>Table1[[#This Row],[Federal Taxes Owed (Includes AMT)]]+Table1[[#This Row],[Obamacare surcharge premium]]</f>
        <v>41444</v>
      </c>
      <c r="AA490" s="9">
        <f>Table1[[#This Row],[taxable wages]]-Table1[[#This Row],[Federal Taxes Owed2]]</f>
        <v>185056</v>
      </c>
      <c r="AB490" s="51">
        <f t="shared" si="46"/>
        <v>0.32500000000000001</v>
      </c>
      <c r="AC490" s="41"/>
      <c r="AD490" s="13"/>
      <c r="AE490" s="13"/>
    </row>
    <row r="491" spans="2:31" x14ac:dyDescent="0.3">
      <c r="B491" s="41">
        <f t="shared" si="47"/>
        <v>227000</v>
      </c>
      <c r="C491" s="1">
        <f>Table1[[#This Row],[taxable wages]]</f>
        <v>227000</v>
      </c>
      <c r="D491" s="1">
        <f>Table1[[#This Row],[taxable wages]]+interest+dividends+short_term_capital_gains+long_term_capital_gains</f>
        <v>227000</v>
      </c>
      <c r="E491" s="1">
        <f>MAX(Table1[[#This Row],[earned income for EITC]:[Agi For Eitc Calc]])</f>
        <v>227000</v>
      </c>
      <c r="F491" s="1">
        <f>Table1[[#This Row],[taxable wages]]+interest+dividends+short_term_capital_gains+long_term_capital_gains-(trad_ira_contributions+MIN(student_loan_interest_cap,student_loan_interest))</f>
        <v>227000</v>
      </c>
      <c r="G491" s="1">
        <f t="shared" si="43"/>
        <v>12600</v>
      </c>
      <c r="H491" s="1">
        <f t="shared" si="44"/>
        <v>28350</v>
      </c>
      <c r="I491" s="1">
        <f>MAX(0,Table1[[#This Row],[Agi]]-Table1[[#This Row],[Exemptions]]-Table1[[#This Row],[Effective Deductions]])</f>
        <v>186050</v>
      </c>
      <c r="J4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39079.5</v>
      </c>
      <c r="K491" s="1">
        <f t="shared" si="45"/>
        <v>5000</v>
      </c>
      <c r="L491" s="1">
        <f>IF(Table1[[#This Row],[Agi]]&gt;ctc_phase_out_begins,ctc_phase_out_rate*(Table1[[#This Row],[Agi]]-ctc_phase_out_begins),0)</f>
        <v>5850</v>
      </c>
      <c r="M491" s="1">
        <f>MAX(Table1[[#This Row],[Child Tax Credit]]-Table1[[#This Row],[Child Tax Credit Phase Out]],0)</f>
        <v>0</v>
      </c>
      <c r="N491" s="1">
        <f>MAX(Table1[[#This Row],[Regular Taxes Owed]]-Table1[[#This Row],[Effective Child Tax Credit]],0)</f>
        <v>39079.5</v>
      </c>
      <c r="O491" s="1">
        <f>MAX(MIN((Table1[[#This Row],[taxable wages]]-3000)*0.15,1000*num_kids_16_younger),0)</f>
        <v>5000</v>
      </c>
      <c r="P491" s="9">
        <f>IF(Table1[[#This Row],[Effective Child Tax Credit]]&gt;Table1[[#This Row],[Regular Taxes Owed]],Table1[[#This Row],[Additional Child Tax Credit ]]-Table1[[#This Row],[Regular Taxes Owed]],0)</f>
        <v>0</v>
      </c>
      <c r="Q4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1" s="1">
        <f>Table1[[#This Row],[Effective Additional Child Tax Credit]]+Table1[[#This Row],[Eitc]]</f>
        <v>0</v>
      </c>
      <c r="S491" s="9">
        <f>Table1[[#This Row],[Regular Taxes Owed - Effective Child Tax Credit]]-Table1[[#This Row],[Total Credits]]</f>
        <v>39079.5</v>
      </c>
      <c r="T491" s="9">
        <f>Table1[[#This Row],[taxable wages]]+interest+dividends+short_term_capital_gains+long_term_capital_gains-(charitable_donations+mortgage_interest)</f>
        <v>227000</v>
      </c>
      <c r="U491" s="9">
        <f>MAX(amt_exemption-amt_exemption_phase_out_rate*MAX(Table1[[#This Row],[taxable wages]]-amt_phase_out_begins,0),0)</f>
        <v>66975</v>
      </c>
      <c r="V4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41606.5</v>
      </c>
      <c r="W491" s="1">
        <f>IF(AND(Table1[[#This Row],[AMT Taxes]]&gt;Table1[[#This Row],[Regular Taxes Owed]],Table1[[#This Row],[AMT Taxes]]&gt;0),Table1[[#This Row],[AMT Taxes]]-Table1[[#This Row],[Regular Taxes Owed]],0)</f>
        <v>2527</v>
      </c>
      <c r="X491" s="9">
        <f>Table1[[#This Row],[Extra Taxes From Amt]]+Table1[[#This Row],[Federal Taxes Owed (No AMT)]]</f>
        <v>41606.5</v>
      </c>
      <c r="Y491" s="9">
        <f>IF(Table1[[#This Row],[taxable wages]]&gt;obamacare_surcharge_amount,obamacare_surcharge_percent*(Table1[[#This Row],[taxable wages]]-obamacare_surcharge_amount),0)</f>
        <v>0</v>
      </c>
      <c r="Z491" s="9">
        <f>Table1[[#This Row],[Federal Taxes Owed (Includes AMT)]]+Table1[[#This Row],[Obamacare surcharge premium]]</f>
        <v>41606.5</v>
      </c>
      <c r="AA491" s="9">
        <f>Table1[[#This Row],[taxable wages]]-Table1[[#This Row],[Federal Taxes Owed2]]</f>
        <v>185393.5</v>
      </c>
      <c r="AB491" s="51">
        <f t="shared" si="46"/>
        <v>0.32500000000000001</v>
      </c>
      <c r="AC491" s="41"/>
      <c r="AD491" s="13"/>
      <c r="AE491" s="13"/>
    </row>
    <row r="492" spans="2:31" x14ac:dyDescent="0.3">
      <c r="B492" s="41">
        <f t="shared" si="47"/>
        <v>227500</v>
      </c>
      <c r="C492" s="1">
        <f>Table1[[#This Row],[taxable wages]]</f>
        <v>227500</v>
      </c>
      <c r="D492" s="1">
        <f>Table1[[#This Row],[taxable wages]]+interest+dividends+short_term_capital_gains+long_term_capital_gains</f>
        <v>227500</v>
      </c>
      <c r="E492" s="1">
        <f>MAX(Table1[[#This Row],[earned income for EITC]:[Agi For Eitc Calc]])</f>
        <v>227500</v>
      </c>
      <c r="F492" s="1">
        <f>Table1[[#This Row],[taxable wages]]+interest+dividends+short_term_capital_gains+long_term_capital_gains-(trad_ira_contributions+MIN(student_loan_interest_cap,student_loan_interest))</f>
        <v>227500</v>
      </c>
      <c r="G492" s="1">
        <f t="shared" si="43"/>
        <v>12600</v>
      </c>
      <c r="H492" s="1">
        <f t="shared" si="44"/>
        <v>28350</v>
      </c>
      <c r="I492" s="1">
        <f>MAX(0,Table1[[#This Row],[Agi]]-Table1[[#This Row],[Exemptions]]-Table1[[#This Row],[Effective Deductions]])</f>
        <v>186550</v>
      </c>
      <c r="J4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39219.5</v>
      </c>
      <c r="K492" s="1">
        <f t="shared" si="45"/>
        <v>5000</v>
      </c>
      <c r="L492" s="1">
        <f>IF(Table1[[#This Row],[Agi]]&gt;ctc_phase_out_begins,ctc_phase_out_rate*(Table1[[#This Row],[Agi]]-ctc_phase_out_begins),0)</f>
        <v>5875</v>
      </c>
      <c r="M492" s="1">
        <f>MAX(Table1[[#This Row],[Child Tax Credit]]-Table1[[#This Row],[Child Tax Credit Phase Out]],0)</f>
        <v>0</v>
      </c>
      <c r="N492" s="1">
        <f>MAX(Table1[[#This Row],[Regular Taxes Owed]]-Table1[[#This Row],[Effective Child Tax Credit]],0)</f>
        <v>39219.5</v>
      </c>
      <c r="O492" s="1">
        <f>MAX(MIN((Table1[[#This Row],[taxable wages]]-3000)*0.15,1000*num_kids_16_younger),0)</f>
        <v>5000</v>
      </c>
      <c r="P492" s="9">
        <f>IF(Table1[[#This Row],[Effective Child Tax Credit]]&gt;Table1[[#This Row],[Regular Taxes Owed]],Table1[[#This Row],[Additional Child Tax Credit ]]-Table1[[#This Row],[Regular Taxes Owed]],0)</f>
        <v>0</v>
      </c>
      <c r="Q4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2" s="1">
        <f>Table1[[#This Row],[Effective Additional Child Tax Credit]]+Table1[[#This Row],[Eitc]]</f>
        <v>0</v>
      </c>
      <c r="S492" s="9">
        <f>Table1[[#This Row],[Regular Taxes Owed - Effective Child Tax Credit]]-Table1[[#This Row],[Total Credits]]</f>
        <v>39219.5</v>
      </c>
      <c r="T492" s="9">
        <f>Table1[[#This Row],[taxable wages]]+interest+dividends+short_term_capital_gains+long_term_capital_gains-(charitable_donations+mortgage_interest)</f>
        <v>227500</v>
      </c>
      <c r="U492" s="9">
        <f>MAX(amt_exemption-amt_exemption_phase_out_rate*MAX(Table1[[#This Row],[taxable wages]]-amt_phase_out_begins,0),0)</f>
        <v>66850</v>
      </c>
      <c r="V4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41769</v>
      </c>
      <c r="W492" s="1">
        <f>IF(AND(Table1[[#This Row],[AMT Taxes]]&gt;Table1[[#This Row],[Regular Taxes Owed]],Table1[[#This Row],[AMT Taxes]]&gt;0),Table1[[#This Row],[AMT Taxes]]-Table1[[#This Row],[Regular Taxes Owed]],0)</f>
        <v>2549.5</v>
      </c>
      <c r="X492" s="9">
        <f>Table1[[#This Row],[Extra Taxes From Amt]]+Table1[[#This Row],[Federal Taxes Owed (No AMT)]]</f>
        <v>41769</v>
      </c>
      <c r="Y492" s="9">
        <f>IF(Table1[[#This Row],[taxable wages]]&gt;obamacare_surcharge_amount,obamacare_surcharge_percent*(Table1[[#This Row],[taxable wages]]-obamacare_surcharge_amount),0)</f>
        <v>0</v>
      </c>
      <c r="Z492" s="9">
        <f>Table1[[#This Row],[Federal Taxes Owed (Includes AMT)]]+Table1[[#This Row],[Obamacare surcharge premium]]</f>
        <v>41769</v>
      </c>
      <c r="AA492" s="9">
        <f>Table1[[#This Row],[taxable wages]]-Table1[[#This Row],[Federal Taxes Owed2]]</f>
        <v>185731</v>
      </c>
      <c r="AB492" s="51">
        <f t="shared" si="46"/>
        <v>0.32500000000000001</v>
      </c>
      <c r="AC492" s="41"/>
      <c r="AD492" s="13"/>
      <c r="AE492" s="13"/>
    </row>
    <row r="493" spans="2:31" x14ac:dyDescent="0.3">
      <c r="B493" s="41">
        <f t="shared" si="47"/>
        <v>228000</v>
      </c>
      <c r="C493" s="1">
        <f>Table1[[#This Row],[taxable wages]]</f>
        <v>228000</v>
      </c>
      <c r="D493" s="1">
        <f>Table1[[#This Row],[taxable wages]]+interest+dividends+short_term_capital_gains+long_term_capital_gains</f>
        <v>228000</v>
      </c>
      <c r="E493" s="1">
        <f>MAX(Table1[[#This Row],[earned income for EITC]:[Agi For Eitc Calc]])</f>
        <v>228000</v>
      </c>
      <c r="F493" s="1">
        <f>Table1[[#This Row],[taxable wages]]+interest+dividends+short_term_capital_gains+long_term_capital_gains-(trad_ira_contributions+MIN(student_loan_interest_cap,student_loan_interest))</f>
        <v>228000</v>
      </c>
      <c r="G493" s="1">
        <f t="shared" si="43"/>
        <v>12600</v>
      </c>
      <c r="H493" s="1">
        <f t="shared" si="44"/>
        <v>28350</v>
      </c>
      <c r="I493" s="1">
        <f>MAX(0,Table1[[#This Row],[Agi]]-Table1[[#This Row],[Exemptions]]-Table1[[#This Row],[Effective Deductions]])</f>
        <v>187050</v>
      </c>
      <c r="J4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39359.5</v>
      </c>
      <c r="K493" s="1">
        <f t="shared" si="45"/>
        <v>5000</v>
      </c>
      <c r="L493" s="1">
        <f>IF(Table1[[#This Row],[Agi]]&gt;ctc_phase_out_begins,ctc_phase_out_rate*(Table1[[#This Row],[Agi]]-ctc_phase_out_begins),0)</f>
        <v>5900</v>
      </c>
      <c r="M493" s="1">
        <f>MAX(Table1[[#This Row],[Child Tax Credit]]-Table1[[#This Row],[Child Tax Credit Phase Out]],0)</f>
        <v>0</v>
      </c>
      <c r="N493" s="1">
        <f>MAX(Table1[[#This Row],[Regular Taxes Owed]]-Table1[[#This Row],[Effective Child Tax Credit]],0)</f>
        <v>39359.5</v>
      </c>
      <c r="O493" s="1">
        <f>MAX(MIN((Table1[[#This Row],[taxable wages]]-3000)*0.15,1000*num_kids_16_younger),0)</f>
        <v>5000</v>
      </c>
      <c r="P493" s="9">
        <f>IF(Table1[[#This Row],[Effective Child Tax Credit]]&gt;Table1[[#This Row],[Regular Taxes Owed]],Table1[[#This Row],[Additional Child Tax Credit ]]-Table1[[#This Row],[Regular Taxes Owed]],0)</f>
        <v>0</v>
      </c>
      <c r="Q4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3" s="1">
        <f>Table1[[#This Row],[Effective Additional Child Tax Credit]]+Table1[[#This Row],[Eitc]]</f>
        <v>0</v>
      </c>
      <c r="S493" s="9">
        <f>Table1[[#This Row],[Regular Taxes Owed - Effective Child Tax Credit]]-Table1[[#This Row],[Total Credits]]</f>
        <v>39359.5</v>
      </c>
      <c r="T493" s="9">
        <f>Table1[[#This Row],[taxable wages]]+interest+dividends+short_term_capital_gains+long_term_capital_gains-(charitable_donations+mortgage_interest)</f>
        <v>228000</v>
      </c>
      <c r="U493" s="9">
        <f>MAX(amt_exemption-amt_exemption_phase_out_rate*MAX(Table1[[#This Row],[taxable wages]]-amt_phase_out_begins,0),0)</f>
        <v>66725</v>
      </c>
      <c r="V4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41931.5</v>
      </c>
      <c r="W493" s="1">
        <f>IF(AND(Table1[[#This Row],[AMT Taxes]]&gt;Table1[[#This Row],[Regular Taxes Owed]],Table1[[#This Row],[AMT Taxes]]&gt;0),Table1[[#This Row],[AMT Taxes]]-Table1[[#This Row],[Regular Taxes Owed]],0)</f>
        <v>2572</v>
      </c>
      <c r="X493" s="9">
        <f>Table1[[#This Row],[Extra Taxes From Amt]]+Table1[[#This Row],[Federal Taxes Owed (No AMT)]]</f>
        <v>41931.5</v>
      </c>
      <c r="Y493" s="9">
        <f>IF(Table1[[#This Row],[taxable wages]]&gt;obamacare_surcharge_amount,obamacare_surcharge_percent*(Table1[[#This Row],[taxable wages]]-obamacare_surcharge_amount),0)</f>
        <v>0</v>
      </c>
      <c r="Z493" s="9">
        <f>Table1[[#This Row],[Federal Taxes Owed (Includes AMT)]]+Table1[[#This Row],[Obamacare surcharge premium]]</f>
        <v>41931.5</v>
      </c>
      <c r="AA493" s="9">
        <f>Table1[[#This Row],[taxable wages]]-Table1[[#This Row],[Federal Taxes Owed2]]</f>
        <v>186068.5</v>
      </c>
      <c r="AB493" s="51">
        <f t="shared" si="46"/>
        <v>0.32500000000000001</v>
      </c>
      <c r="AC493" s="41"/>
      <c r="AD493" s="13"/>
      <c r="AE493" s="13"/>
    </row>
    <row r="494" spans="2:31" x14ac:dyDescent="0.3">
      <c r="B494" s="41">
        <f t="shared" si="47"/>
        <v>228500</v>
      </c>
      <c r="C494" s="1">
        <f>Table1[[#This Row],[taxable wages]]</f>
        <v>228500</v>
      </c>
      <c r="D494" s="1">
        <f>Table1[[#This Row],[taxable wages]]+interest+dividends+short_term_capital_gains+long_term_capital_gains</f>
        <v>228500</v>
      </c>
      <c r="E494" s="1">
        <f>MAX(Table1[[#This Row],[earned income for EITC]:[Agi For Eitc Calc]])</f>
        <v>228500</v>
      </c>
      <c r="F494" s="1">
        <f>Table1[[#This Row],[taxable wages]]+interest+dividends+short_term_capital_gains+long_term_capital_gains-(trad_ira_contributions+MIN(student_loan_interest_cap,student_loan_interest))</f>
        <v>228500</v>
      </c>
      <c r="G494" s="1">
        <f t="shared" si="43"/>
        <v>12600</v>
      </c>
      <c r="H494" s="1">
        <f t="shared" si="44"/>
        <v>28350</v>
      </c>
      <c r="I494" s="1">
        <f>MAX(0,Table1[[#This Row],[Agi]]-Table1[[#This Row],[Exemptions]]-Table1[[#This Row],[Effective Deductions]])</f>
        <v>187550</v>
      </c>
      <c r="J4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39499.5</v>
      </c>
      <c r="K494" s="1">
        <f t="shared" si="45"/>
        <v>5000</v>
      </c>
      <c r="L494" s="1">
        <f>IF(Table1[[#This Row],[Agi]]&gt;ctc_phase_out_begins,ctc_phase_out_rate*(Table1[[#This Row],[Agi]]-ctc_phase_out_begins),0)</f>
        <v>5925</v>
      </c>
      <c r="M494" s="1">
        <f>MAX(Table1[[#This Row],[Child Tax Credit]]-Table1[[#This Row],[Child Tax Credit Phase Out]],0)</f>
        <v>0</v>
      </c>
      <c r="N494" s="1">
        <f>MAX(Table1[[#This Row],[Regular Taxes Owed]]-Table1[[#This Row],[Effective Child Tax Credit]],0)</f>
        <v>39499.5</v>
      </c>
      <c r="O494" s="1">
        <f>MAX(MIN((Table1[[#This Row],[taxable wages]]-3000)*0.15,1000*num_kids_16_younger),0)</f>
        <v>5000</v>
      </c>
      <c r="P494" s="9">
        <f>IF(Table1[[#This Row],[Effective Child Tax Credit]]&gt;Table1[[#This Row],[Regular Taxes Owed]],Table1[[#This Row],[Additional Child Tax Credit ]]-Table1[[#This Row],[Regular Taxes Owed]],0)</f>
        <v>0</v>
      </c>
      <c r="Q4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4" s="1">
        <f>Table1[[#This Row],[Effective Additional Child Tax Credit]]+Table1[[#This Row],[Eitc]]</f>
        <v>0</v>
      </c>
      <c r="S494" s="9">
        <f>Table1[[#This Row],[Regular Taxes Owed - Effective Child Tax Credit]]-Table1[[#This Row],[Total Credits]]</f>
        <v>39499.5</v>
      </c>
      <c r="T494" s="9">
        <f>Table1[[#This Row],[taxable wages]]+interest+dividends+short_term_capital_gains+long_term_capital_gains-(charitable_donations+mortgage_interest)</f>
        <v>228500</v>
      </c>
      <c r="U494" s="9">
        <f>MAX(amt_exemption-amt_exemption_phase_out_rate*MAX(Table1[[#This Row],[taxable wages]]-amt_phase_out_begins,0),0)</f>
        <v>66600</v>
      </c>
      <c r="V4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42094</v>
      </c>
      <c r="W494" s="1">
        <f>IF(AND(Table1[[#This Row],[AMT Taxes]]&gt;Table1[[#This Row],[Regular Taxes Owed]],Table1[[#This Row],[AMT Taxes]]&gt;0),Table1[[#This Row],[AMT Taxes]]-Table1[[#This Row],[Regular Taxes Owed]],0)</f>
        <v>2594.5</v>
      </c>
      <c r="X494" s="9">
        <f>Table1[[#This Row],[Extra Taxes From Amt]]+Table1[[#This Row],[Federal Taxes Owed (No AMT)]]</f>
        <v>42094</v>
      </c>
      <c r="Y494" s="9">
        <f>IF(Table1[[#This Row],[taxable wages]]&gt;obamacare_surcharge_amount,obamacare_surcharge_percent*(Table1[[#This Row],[taxable wages]]-obamacare_surcharge_amount),0)</f>
        <v>0</v>
      </c>
      <c r="Z494" s="9">
        <f>Table1[[#This Row],[Federal Taxes Owed (Includes AMT)]]+Table1[[#This Row],[Obamacare surcharge premium]]</f>
        <v>42094</v>
      </c>
      <c r="AA494" s="9">
        <f>Table1[[#This Row],[taxable wages]]-Table1[[#This Row],[Federal Taxes Owed2]]</f>
        <v>186406</v>
      </c>
      <c r="AB494" s="51">
        <f t="shared" si="46"/>
        <v>0.32500000000000001</v>
      </c>
      <c r="AC494" s="41"/>
      <c r="AD494" s="13"/>
      <c r="AE494" s="13"/>
    </row>
    <row r="495" spans="2:31" x14ac:dyDescent="0.3">
      <c r="B495" s="41">
        <f t="shared" si="47"/>
        <v>229000</v>
      </c>
      <c r="C495" s="1">
        <f>Table1[[#This Row],[taxable wages]]</f>
        <v>229000</v>
      </c>
      <c r="D495" s="1">
        <f>Table1[[#This Row],[taxable wages]]+interest+dividends+short_term_capital_gains+long_term_capital_gains</f>
        <v>229000</v>
      </c>
      <c r="E495" s="1">
        <f>MAX(Table1[[#This Row],[earned income for EITC]:[Agi For Eitc Calc]])</f>
        <v>229000</v>
      </c>
      <c r="F495" s="1">
        <f>Table1[[#This Row],[taxable wages]]+interest+dividends+short_term_capital_gains+long_term_capital_gains-(trad_ira_contributions+MIN(student_loan_interest_cap,student_loan_interest))</f>
        <v>229000</v>
      </c>
      <c r="G495" s="1">
        <f t="shared" si="43"/>
        <v>12600</v>
      </c>
      <c r="H495" s="1">
        <f t="shared" si="44"/>
        <v>28350</v>
      </c>
      <c r="I495" s="1">
        <f>MAX(0,Table1[[#This Row],[Agi]]-Table1[[#This Row],[Exemptions]]-Table1[[#This Row],[Effective Deductions]])</f>
        <v>188050</v>
      </c>
      <c r="J4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39639.5</v>
      </c>
      <c r="K495" s="1">
        <f t="shared" si="45"/>
        <v>5000</v>
      </c>
      <c r="L495" s="1">
        <f>IF(Table1[[#This Row],[Agi]]&gt;ctc_phase_out_begins,ctc_phase_out_rate*(Table1[[#This Row],[Agi]]-ctc_phase_out_begins),0)</f>
        <v>5950</v>
      </c>
      <c r="M495" s="1">
        <f>MAX(Table1[[#This Row],[Child Tax Credit]]-Table1[[#This Row],[Child Tax Credit Phase Out]],0)</f>
        <v>0</v>
      </c>
      <c r="N495" s="1">
        <f>MAX(Table1[[#This Row],[Regular Taxes Owed]]-Table1[[#This Row],[Effective Child Tax Credit]],0)</f>
        <v>39639.5</v>
      </c>
      <c r="O495" s="1">
        <f>MAX(MIN((Table1[[#This Row],[taxable wages]]-3000)*0.15,1000*num_kids_16_younger),0)</f>
        <v>5000</v>
      </c>
      <c r="P495" s="9">
        <f>IF(Table1[[#This Row],[Effective Child Tax Credit]]&gt;Table1[[#This Row],[Regular Taxes Owed]],Table1[[#This Row],[Additional Child Tax Credit ]]-Table1[[#This Row],[Regular Taxes Owed]],0)</f>
        <v>0</v>
      </c>
      <c r="Q4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5" s="1">
        <f>Table1[[#This Row],[Effective Additional Child Tax Credit]]+Table1[[#This Row],[Eitc]]</f>
        <v>0</v>
      </c>
      <c r="S495" s="9">
        <f>Table1[[#This Row],[Regular Taxes Owed - Effective Child Tax Credit]]-Table1[[#This Row],[Total Credits]]</f>
        <v>39639.5</v>
      </c>
      <c r="T495" s="9">
        <f>Table1[[#This Row],[taxable wages]]+interest+dividends+short_term_capital_gains+long_term_capital_gains-(charitable_donations+mortgage_interest)</f>
        <v>229000</v>
      </c>
      <c r="U495" s="9">
        <f>MAX(amt_exemption-amt_exemption_phase_out_rate*MAX(Table1[[#This Row],[taxable wages]]-amt_phase_out_begins,0),0)</f>
        <v>66475</v>
      </c>
      <c r="V4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42256.5</v>
      </c>
      <c r="W495" s="1">
        <f>IF(AND(Table1[[#This Row],[AMT Taxes]]&gt;Table1[[#This Row],[Regular Taxes Owed]],Table1[[#This Row],[AMT Taxes]]&gt;0),Table1[[#This Row],[AMT Taxes]]-Table1[[#This Row],[Regular Taxes Owed]],0)</f>
        <v>2617</v>
      </c>
      <c r="X495" s="9">
        <f>Table1[[#This Row],[Extra Taxes From Amt]]+Table1[[#This Row],[Federal Taxes Owed (No AMT)]]</f>
        <v>42256.5</v>
      </c>
      <c r="Y495" s="9">
        <f>IF(Table1[[#This Row],[taxable wages]]&gt;obamacare_surcharge_amount,obamacare_surcharge_percent*(Table1[[#This Row],[taxable wages]]-obamacare_surcharge_amount),0)</f>
        <v>0</v>
      </c>
      <c r="Z495" s="9">
        <f>Table1[[#This Row],[Federal Taxes Owed (Includes AMT)]]+Table1[[#This Row],[Obamacare surcharge premium]]</f>
        <v>42256.5</v>
      </c>
      <c r="AA495" s="9">
        <f>Table1[[#This Row],[taxable wages]]-Table1[[#This Row],[Federal Taxes Owed2]]</f>
        <v>186743.5</v>
      </c>
      <c r="AB495" s="51">
        <f t="shared" si="46"/>
        <v>0.32500000000000001</v>
      </c>
      <c r="AC495" s="41"/>
      <c r="AD495" s="13"/>
      <c r="AE495" s="13"/>
    </row>
    <row r="496" spans="2:31" x14ac:dyDescent="0.3">
      <c r="B496" s="41">
        <f t="shared" si="47"/>
        <v>229500</v>
      </c>
      <c r="C496" s="1">
        <f>Table1[[#This Row],[taxable wages]]</f>
        <v>229500</v>
      </c>
      <c r="D496" s="1">
        <f>Table1[[#This Row],[taxable wages]]+interest+dividends+short_term_capital_gains+long_term_capital_gains</f>
        <v>229500</v>
      </c>
      <c r="E496" s="1">
        <f>MAX(Table1[[#This Row],[earned income for EITC]:[Agi For Eitc Calc]])</f>
        <v>229500</v>
      </c>
      <c r="F496" s="1">
        <f>Table1[[#This Row],[taxable wages]]+interest+dividends+short_term_capital_gains+long_term_capital_gains-(trad_ira_contributions+MIN(student_loan_interest_cap,student_loan_interest))</f>
        <v>229500</v>
      </c>
      <c r="G496" s="1">
        <f t="shared" si="43"/>
        <v>12600</v>
      </c>
      <c r="H496" s="1">
        <f t="shared" si="44"/>
        <v>28350</v>
      </c>
      <c r="I496" s="1">
        <f>MAX(0,Table1[[#This Row],[Agi]]-Table1[[#This Row],[Exemptions]]-Table1[[#This Row],[Effective Deductions]])</f>
        <v>188550</v>
      </c>
      <c r="J4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39779.5</v>
      </c>
      <c r="K496" s="1">
        <f t="shared" si="45"/>
        <v>5000</v>
      </c>
      <c r="L496" s="1">
        <f>IF(Table1[[#This Row],[Agi]]&gt;ctc_phase_out_begins,ctc_phase_out_rate*(Table1[[#This Row],[Agi]]-ctc_phase_out_begins),0)</f>
        <v>5975</v>
      </c>
      <c r="M496" s="1">
        <f>MAX(Table1[[#This Row],[Child Tax Credit]]-Table1[[#This Row],[Child Tax Credit Phase Out]],0)</f>
        <v>0</v>
      </c>
      <c r="N496" s="1">
        <f>MAX(Table1[[#This Row],[Regular Taxes Owed]]-Table1[[#This Row],[Effective Child Tax Credit]],0)</f>
        <v>39779.5</v>
      </c>
      <c r="O496" s="1">
        <f>MAX(MIN((Table1[[#This Row],[taxable wages]]-3000)*0.15,1000*num_kids_16_younger),0)</f>
        <v>5000</v>
      </c>
      <c r="P496" s="9">
        <f>IF(Table1[[#This Row],[Effective Child Tax Credit]]&gt;Table1[[#This Row],[Regular Taxes Owed]],Table1[[#This Row],[Additional Child Tax Credit ]]-Table1[[#This Row],[Regular Taxes Owed]],0)</f>
        <v>0</v>
      </c>
      <c r="Q4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6" s="1">
        <f>Table1[[#This Row],[Effective Additional Child Tax Credit]]+Table1[[#This Row],[Eitc]]</f>
        <v>0</v>
      </c>
      <c r="S496" s="9">
        <f>Table1[[#This Row],[Regular Taxes Owed - Effective Child Tax Credit]]-Table1[[#This Row],[Total Credits]]</f>
        <v>39779.5</v>
      </c>
      <c r="T496" s="9">
        <f>Table1[[#This Row],[taxable wages]]+interest+dividends+short_term_capital_gains+long_term_capital_gains-(charitable_donations+mortgage_interest)</f>
        <v>229500</v>
      </c>
      <c r="U496" s="9">
        <f>MAX(amt_exemption-amt_exemption_phase_out_rate*MAX(Table1[[#This Row],[taxable wages]]-amt_phase_out_begins,0),0)</f>
        <v>66350</v>
      </c>
      <c r="V4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42419</v>
      </c>
      <c r="W496" s="1">
        <f>IF(AND(Table1[[#This Row],[AMT Taxes]]&gt;Table1[[#This Row],[Regular Taxes Owed]],Table1[[#This Row],[AMT Taxes]]&gt;0),Table1[[#This Row],[AMT Taxes]]-Table1[[#This Row],[Regular Taxes Owed]],0)</f>
        <v>2639.5</v>
      </c>
      <c r="X496" s="9">
        <f>Table1[[#This Row],[Extra Taxes From Amt]]+Table1[[#This Row],[Federal Taxes Owed (No AMT)]]</f>
        <v>42419</v>
      </c>
      <c r="Y496" s="9">
        <f>IF(Table1[[#This Row],[taxable wages]]&gt;obamacare_surcharge_amount,obamacare_surcharge_percent*(Table1[[#This Row],[taxable wages]]-obamacare_surcharge_amount),0)</f>
        <v>0</v>
      </c>
      <c r="Z496" s="9">
        <f>Table1[[#This Row],[Federal Taxes Owed (Includes AMT)]]+Table1[[#This Row],[Obamacare surcharge premium]]</f>
        <v>42419</v>
      </c>
      <c r="AA496" s="9">
        <f>Table1[[#This Row],[taxable wages]]-Table1[[#This Row],[Federal Taxes Owed2]]</f>
        <v>187081</v>
      </c>
      <c r="AB496" s="51">
        <f t="shared" si="46"/>
        <v>0.32500000000000001</v>
      </c>
      <c r="AC496" s="41"/>
      <c r="AD496" s="13"/>
      <c r="AE496" s="13"/>
    </row>
    <row r="497" spans="2:31" x14ac:dyDescent="0.3">
      <c r="B497" s="41">
        <f t="shared" si="47"/>
        <v>230000</v>
      </c>
      <c r="C497" s="1">
        <f>Table1[[#This Row],[taxable wages]]</f>
        <v>230000</v>
      </c>
      <c r="D497" s="1">
        <f>Table1[[#This Row],[taxable wages]]+interest+dividends+short_term_capital_gains+long_term_capital_gains</f>
        <v>230000</v>
      </c>
      <c r="E497" s="1">
        <f>MAX(Table1[[#This Row],[earned income for EITC]:[Agi For Eitc Calc]])</f>
        <v>230000</v>
      </c>
      <c r="F497" s="1">
        <f>Table1[[#This Row],[taxable wages]]+interest+dividends+short_term_capital_gains+long_term_capital_gains-(trad_ira_contributions+MIN(student_loan_interest_cap,student_loan_interest))</f>
        <v>230000</v>
      </c>
      <c r="G497" s="1">
        <f t="shared" si="43"/>
        <v>12600</v>
      </c>
      <c r="H497" s="1">
        <f t="shared" si="44"/>
        <v>28350</v>
      </c>
      <c r="I497" s="1">
        <f>MAX(0,Table1[[#This Row],[Agi]]-Table1[[#This Row],[Exemptions]]-Table1[[#This Row],[Effective Deductions]])</f>
        <v>189050</v>
      </c>
      <c r="J4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39919.5</v>
      </c>
      <c r="K497" s="1">
        <f t="shared" si="45"/>
        <v>5000</v>
      </c>
      <c r="L497" s="1">
        <f>IF(Table1[[#This Row],[Agi]]&gt;ctc_phase_out_begins,ctc_phase_out_rate*(Table1[[#This Row],[Agi]]-ctc_phase_out_begins),0)</f>
        <v>6000</v>
      </c>
      <c r="M497" s="1">
        <f>MAX(Table1[[#This Row],[Child Tax Credit]]-Table1[[#This Row],[Child Tax Credit Phase Out]],0)</f>
        <v>0</v>
      </c>
      <c r="N497" s="1">
        <f>MAX(Table1[[#This Row],[Regular Taxes Owed]]-Table1[[#This Row],[Effective Child Tax Credit]],0)</f>
        <v>39919.5</v>
      </c>
      <c r="O497" s="1">
        <f>MAX(MIN((Table1[[#This Row],[taxable wages]]-3000)*0.15,1000*num_kids_16_younger),0)</f>
        <v>5000</v>
      </c>
      <c r="P497" s="9">
        <f>IF(Table1[[#This Row],[Effective Child Tax Credit]]&gt;Table1[[#This Row],[Regular Taxes Owed]],Table1[[#This Row],[Additional Child Tax Credit ]]-Table1[[#This Row],[Regular Taxes Owed]],0)</f>
        <v>0</v>
      </c>
      <c r="Q4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7" s="1">
        <f>Table1[[#This Row],[Effective Additional Child Tax Credit]]+Table1[[#This Row],[Eitc]]</f>
        <v>0</v>
      </c>
      <c r="S497" s="9">
        <f>Table1[[#This Row],[Regular Taxes Owed - Effective Child Tax Credit]]-Table1[[#This Row],[Total Credits]]</f>
        <v>39919.5</v>
      </c>
      <c r="T497" s="9">
        <f>Table1[[#This Row],[taxable wages]]+interest+dividends+short_term_capital_gains+long_term_capital_gains-(charitable_donations+mortgage_interest)</f>
        <v>230000</v>
      </c>
      <c r="U497" s="9">
        <f>MAX(amt_exemption-amt_exemption_phase_out_rate*MAX(Table1[[#This Row],[taxable wages]]-amt_phase_out_begins,0),0)</f>
        <v>66225</v>
      </c>
      <c r="V4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42581.5</v>
      </c>
      <c r="W497" s="1">
        <f>IF(AND(Table1[[#This Row],[AMT Taxes]]&gt;Table1[[#This Row],[Regular Taxes Owed]],Table1[[#This Row],[AMT Taxes]]&gt;0),Table1[[#This Row],[AMT Taxes]]-Table1[[#This Row],[Regular Taxes Owed]],0)</f>
        <v>2662</v>
      </c>
      <c r="X497" s="9">
        <f>Table1[[#This Row],[Extra Taxes From Amt]]+Table1[[#This Row],[Federal Taxes Owed (No AMT)]]</f>
        <v>42581.5</v>
      </c>
      <c r="Y497" s="9">
        <f>IF(Table1[[#This Row],[taxable wages]]&gt;obamacare_surcharge_amount,obamacare_surcharge_percent*(Table1[[#This Row],[taxable wages]]-obamacare_surcharge_amount),0)</f>
        <v>0</v>
      </c>
      <c r="Z497" s="9">
        <f>Table1[[#This Row],[Federal Taxes Owed (Includes AMT)]]+Table1[[#This Row],[Obamacare surcharge premium]]</f>
        <v>42581.5</v>
      </c>
      <c r="AA497" s="9">
        <f>Table1[[#This Row],[taxable wages]]-Table1[[#This Row],[Federal Taxes Owed2]]</f>
        <v>187418.5</v>
      </c>
      <c r="AB497" s="51">
        <f t="shared" si="46"/>
        <v>0.32500000000000001</v>
      </c>
      <c r="AC497" s="41"/>
      <c r="AD497" s="13"/>
      <c r="AE497" s="13"/>
    </row>
    <row r="498" spans="2:31" x14ac:dyDescent="0.3">
      <c r="B498" s="41">
        <f t="shared" si="47"/>
        <v>230500</v>
      </c>
      <c r="C498" s="1">
        <f>Table1[[#This Row],[taxable wages]]</f>
        <v>230500</v>
      </c>
      <c r="D498" s="1">
        <f>Table1[[#This Row],[taxable wages]]+interest+dividends+short_term_capital_gains+long_term_capital_gains</f>
        <v>230500</v>
      </c>
      <c r="E498" s="1">
        <f>MAX(Table1[[#This Row],[earned income for EITC]:[Agi For Eitc Calc]])</f>
        <v>230500</v>
      </c>
      <c r="F498" s="1">
        <f>Table1[[#This Row],[taxable wages]]+interest+dividends+short_term_capital_gains+long_term_capital_gains-(trad_ira_contributions+MIN(student_loan_interest_cap,student_loan_interest))</f>
        <v>230500</v>
      </c>
      <c r="G498" s="1">
        <f t="shared" si="43"/>
        <v>12600</v>
      </c>
      <c r="H498" s="1">
        <f t="shared" si="44"/>
        <v>28350</v>
      </c>
      <c r="I498" s="1">
        <f>MAX(0,Table1[[#This Row],[Agi]]-Table1[[#This Row],[Exemptions]]-Table1[[#This Row],[Effective Deductions]])</f>
        <v>189550</v>
      </c>
      <c r="J4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40059.5</v>
      </c>
      <c r="K498" s="1">
        <f t="shared" si="45"/>
        <v>5000</v>
      </c>
      <c r="L498" s="1">
        <f>IF(Table1[[#This Row],[Agi]]&gt;ctc_phase_out_begins,ctc_phase_out_rate*(Table1[[#This Row],[Agi]]-ctc_phase_out_begins),0)</f>
        <v>6025</v>
      </c>
      <c r="M498" s="1">
        <f>MAX(Table1[[#This Row],[Child Tax Credit]]-Table1[[#This Row],[Child Tax Credit Phase Out]],0)</f>
        <v>0</v>
      </c>
      <c r="N498" s="1">
        <f>MAX(Table1[[#This Row],[Regular Taxes Owed]]-Table1[[#This Row],[Effective Child Tax Credit]],0)</f>
        <v>40059.5</v>
      </c>
      <c r="O498" s="1">
        <f>MAX(MIN((Table1[[#This Row],[taxable wages]]-3000)*0.15,1000*num_kids_16_younger),0)</f>
        <v>5000</v>
      </c>
      <c r="P498" s="9">
        <f>IF(Table1[[#This Row],[Effective Child Tax Credit]]&gt;Table1[[#This Row],[Regular Taxes Owed]],Table1[[#This Row],[Additional Child Tax Credit ]]-Table1[[#This Row],[Regular Taxes Owed]],0)</f>
        <v>0</v>
      </c>
      <c r="Q4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8" s="1">
        <f>Table1[[#This Row],[Effective Additional Child Tax Credit]]+Table1[[#This Row],[Eitc]]</f>
        <v>0</v>
      </c>
      <c r="S498" s="9">
        <f>Table1[[#This Row],[Regular Taxes Owed - Effective Child Tax Credit]]-Table1[[#This Row],[Total Credits]]</f>
        <v>40059.5</v>
      </c>
      <c r="T498" s="9">
        <f>Table1[[#This Row],[taxable wages]]+interest+dividends+short_term_capital_gains+long_term_capital_gains-(charitable_donations+mortgage_interest)</f>
        <v>230500</v>
      </c>
      <c r="U498" s="9">
        <f>MAX(amt_exemption-amt_exemption_phase_out_rate*MAX(Table1[[#This Row],[taxable wages]]-amt_phase_out_begins,0),0)</f>
        <v>66100</v>
      </c>
      <c r="V4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42744</v>
      </c>
      <c r="W498" s="1">
        <f>IF(AND(Table1[[#This Row],[AMT Taxes]]&gt;Table1[[#This Row],[Regular Taxes Owed]],Table1[[#This Row],[AMT Taxes]]&gt;0),Table1[[#This Row],[AMT Taxes]]-Table1[[#This Row],[Regular Taxes Owed]],0)</f>
        <v>2684.5</v>
      </c>
      <c r="X498" s="9">
        <f>Table1[[#This Row],[Extra Taxes From Amt]]+Table1[[#This Row],[Federal Taxes Owed (No AMT)]]</f>
        <v>42744</v>
      </c>
      <c r="Y498" s="9">
        <f>IF(Table1[[#This Row],[taxable wages]]&gt;obamacare_surcharge_amount,obamacare_surcharge_percent*(Table1[[#This Row],[taxable wages]]-obamacare_surcharge_amount),0)</f>
        <v>0</v>
      </c>
      <c r="Z498" s="9">
        <f>Table1[[#This Row],[Federal Taxes Owed (Includes AMT)]]+Table1[[#This Row],[Obamacare surcharge premium]]</f>
        <v>42744</v>
      </c>
      <c r="AA498" s="9">
        <f>Table1[[#This Row],[taxable wages]]-Table1[[#This Row],[Federal Taxes Owed2]]</f>
        <v>187756</v>
      </c>
      <c r="AB498" s="51">
        <f t="shared" si="46"/>
        <v>0.32500000000000001</v>
      </c>
      <c r="AC498" s="41"/>
      <c r="AD498" s="13"/>
      <c r="AE498" s="13"/>
    </row>
    <row r="499" spans="2:31" x14ac:dyDescent="0.3">
      <c r="B499" s="41">
        <f t="shared" si="47"/>
        <v>231000</v>
      </c>
      <c r="C499" s="1">
        <f>Table1[[#This Row],[taxable wages]]</f>
        <v>231000</v>
      </c>
      <c r="D499" s="1">
        <f>Table1[[#This Row],[taxable wages]]+interest+dividends+short_term_capital_gains+long_term_capital_gains</f>
        <v>231000</v>
      </c>
      <c r="E499" s="1">
        <f>MAX(Table1[[#This Row],[earned income for EITC]:[Agi For Eitc Calc]])</f>
        <v>231000</v>
      </c>
      <c r="F499" s="1">
        <f>Table1[[#This Row],[taxable wages]]+interest+dividends+short_term_capital_gains+long_term_capital_gains-(trad_ira_contributions+MIN(student_loan_interest_cap,student_loan_interest))</f>
        <v>231000</v>
      </c>
      <c r="G499" s="1">
        <f t="shared" si="43"/>
        <v>12600</v>
      </c>
      <c r="H499" s="1">
        <f t="shared" si="44"/>
        <v>28350</v>
      </c>
      <c r="I499" s="1">
        <f>MAX(0,Table1[[#This Row],[Agi]]-Table1[[#This Row],[Exemptions]]-Table1[[#This Row],[Effective Deductions]])</f>
        <v>190050</v>
      </c>
      <c r="J4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40199.5</v>
      </c>
      <c r="K499" s="1">
        <f t="shared" si="45"/>
        <v>5000</v>
      </c>
      <c r="L499" s="1">
        <f>IF(Table1[[#This Row],[Agi]]&gt;ctc_phase_out_begins,ctc_phase_out_rate*(Table1[[#This Row],[Agi]]-ctc_phase_out_begins),0)</f>
        <v>6050</v>
      </c>
      <c r="M499" s="1">
        <f>MAX(Table1[[#This Row],[Child Tax Credit]]-Table1[[#This Row],[Child Tax Credit Phase Out]],0)</f>
        <v>0</v>
      </c>
      <c r="N499" s="1">
        <f>MAX(Table1[[#This Row],[Regular Taxes Owed]]-Table1[[#This Row],[Effective Child Tax Credit]],0)</f>
        <v>40199.5</v>
      </c>
      <c r="O499" s="1">
        <f>MAX(MIN((Table1[[#This Row],[taxable wages]]-3000)*0.15,1000*num_kids_16_younger),0)</f>
        <v>5000</v>
      </c>
      <c r="P499" s="9">
        <f>IF(Table1[[#This Row],[Effective Child Tax Credit]]&gt;Table1[[#This Row],[Regular Taxes Owed]],Table1[[#This Row],[Additional Child Tax Credit ]]-Table1[[#This Row],[Regular Taxes Owed]],0)</f>
        <v>0</v>
      </c>
      <c r="Q4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499" s="1">
        <f>Table1[[#This Row],[Effective Additional Child Tax Credit]]+Table1[[#This Row],[Eitc]]</f>
        <v>0</v>
      </c>
      <c r="S499" s="9">
        <f>Table1[[#This Row],[Regular Taxes Owed - Effective Child Tax Credit]]-Table1[[#This Row],[Total Credits]]</f>
        <v>40199.5</v>
      </c>
      <c r="T499" s="9">
        <f>Table1[[#This Row],[taxable wages]]+interest+dividends+short_term_capital_gains+long_term_capital_gains-(charitable_donations+mortgage_interest)</f>
        <v>231000</v>
      </c>
      <c r="U499" s="9">
        <f>MAX(amt_exemption-amt_exemption_phase_out_rate*MAX(Table1[[#This Row],[taxable wages]]-amt_phase_out_begins,0),0)</f>
        <v>65975</v>
      </c>
      <c r="V4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42906.5</v>
      </c>
      <c r="W499" s="1">
        <f>IF(AND(Table1[[#This Row],[AMT Taxes]]&gt;Table1[[#This Row],[Regular Taxes Owed]],Table1[[#This Row],[AMT Taxes]]&gt;0),Table1[[#This Row],[AMT Taxes]]-Table1[[#This Row],[Regular Taxes Owed]],0)</f>
        <v>2707</v>
      </c>
      <c r="X499" s="9">
        <f>Table1[[#This Row],[Extra Taxes From Amt]]+Table1[[#This Row],[Federal Taxes Owed (No AMT)]]</f>
        <v>42906.5</v>
      </c>
      <c r="Y499" s="9">
        <f>IF(Table1[[#This Row],[taxable wages]]&gt;obamacare_surcharge_amount,obamacare_surcharge_percent*(Table1[[#This Row],[taxable wages]]-obamacare_surcharge_amount),0)</f>
        <v>0</v>
      </c>
      <c r="Z499" s="9">
        <f>Table1[[#This Row],[Federal Taxes Owed (Includes AMT)]]+Table1[[#This Row],[Obamacare surcharge premium]]</f>
        <v>42906.5</v>
      </c>
      <c r="AA499" s="9">
        <f>Table1[[#This Row],[taxable wages]]-Table1[[#This Row],[Federal Taxes Owed2]]</f>
        <v>188093.5</v>
      </c>
      <c r="AB499" s="51">
        <f t="shared" si="46"/>
        <v>0.32500000000000001</v>
      </c>
      <c r="AC499" s="41"/>
      <c r="AD499" s="13"/>
      <c r="AE499" s="13"/>
    </row>
    <row r="500" spans="2:31" x14ac:dyDescent="0.3">
      <c r="B500" s="41">
        <f t="shared" si="47"/>
        <v>231500</v>
      </c>
      <c r="C500" s="1">
        <f>Table1[[#This Row],[taxable wages]]</f>
        <v>231500</v>
      </c>
      <c r="D500" s="1">
        <f>Table1[[#This Row],[taxable wages]]+interest+dividends+short_term_capital_gains+long_term_capital_gains</f>
        <v>231500</v>
      </c>
      <c r="E500" s="1">
        <f>MAX(Table1[[#This Row],[earned income for EITC]:[Agi For Eitc Calc]])</f>
        <v>231500</v>
      </c>
      <c r="F500" s="1">
        <f>Table1[[#This Row],[taxable wages]]+interest+dividends+short_term_capital_gains+long_term_capital_gains-(trad_ira_contributions+MIN(student_loan_interest_cap,student_loan_interest))</f>
        <v>231500</v>
      </c>
      <c r="G500" s="1">
        <f t="shared" si="43"/>
        <v>12600</v>
      </c>
      <c r="H500" s="1">
        <f t="shared" si="44"/>
        <v>28350</v>
      </c>
      <c r="I500" s="1">
        <f>MAX(0,Table1[[#This Row],[Agi]]-Table1[[#This Row],[Exemptions]]-Table1[[#This Row],[Effective Deductions]])</f>
        <v>190550</v>
      </c>
      <c r="J5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40339.5</v>
      </c>
      <c r="K500" s="1">
        <f t="shared" si="45"/>
        <v>5000</v>
      </c>
      <c r="L500" s="1">
        <f>IF(Table1[[#This Row],[Agi]]&gt;ctc_phase_out_begins,ctc_phase_out_rate*(Table1[[#This Row],[Agi]]-ctc_phase_out_begins),0)</f>
        <v>6075</v>
      </c>
      <c r="M500" s="1">
        <f>MAX(Table1[[#This Row],[Child Tax Credit]]-Table1[[#This Row],[Child Tax Credit Phase Out]],0)</f>
        <v>0</v>
      </c>
      <c r="N500" s="1">
        <f>MAX(Table1[[#This Row],[Regular Taxes Owed]]-Table1[[#This Row],[Effective Child Tax Credit]],0)</f>
        <v>40339.5</v>
      </c>
      <c r="O500" s="1">
        <f>MAX(MIN((Table1[[#This Row],[taxable wages]]-3000)*0.15,1000*num_kids_16_younger),0)</f>
        <v>5000</v>
      </c>
      <c r="P500" s="9">
        <f>IF(Table1[[#This Row],[Effective Child Tax Credit]]&gt;Table1[[#This Row],[Regular Taxes Owed]],Table1[[#This Row],[Additional Child Tax Credit ]]-Table1[[#This Row],[Regular Taxes Owed]],0)</f>
        <v>0</v>
      </c>
      <c r="Q5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0" s="1">
        <f>Table1[[#This Row],[Effective Additional Child Tax Credit]]+Table1[[#This Row],[Eitc]]</f>
        <v>0</v>
      </c>
      <c r="S500" s="9">
        <f>Table1[[#This Row],[Regular Taxes Owed - Effective Child Tax Credit]]-Table1[[#This Row],[Total Credits]]</f>
        <v>40339.5</v>
      </c>
      <c r="T500" s="9">
        <f>Table1[[#This Row],[taxable wages]]+interest+dividends+short_term_capital_gains+long_term_capital_gains-(charitable_donations+mortgage_interest)</f>
        <v>231500</v>
      </c>
      <c r="U500" s="9">
        <f>MAX(amt_exemption-amt_exemption_phase_out_rate*MAX(Table1[[#This Row],[taxable wages]]-amt_phase_out_begins,0),0)</f>
        <v>65850</v>
      </c>
      <c r="V5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43069</v>
      </c>
      <c r="W500" s="1">
        <f>IF(AND(Table1[[#This Row],[AMT Taxes]]&gt;Table1[[#This Row],[Regular Taxes Owed]],Table1[[#This Row],[AMT Taxes]]&gt;0),Table1[[#This Row],[AMT Taxes]]-Table1[[#This Row],[Regular Taxes Owed]],0)</f>
        <v>2729.5</v>
      </c>
      <c r="X500" s="9">
        <f>Table1[[#This Row],[Extra Taxes From Amt]]+Table1[[#This Row],[Federal Taxes Owed (No AMT)]]</f>
        <v>43069</v>
      </c>
      <c r="Y500" s="9">
        <f>IF(Table1[[#This Row],[taxable wages]]&gt;obamacare_surcharge_amount,obamacare_surcharge_percent*(Table1[[#This Row],[taxable wages]]-obamacare_surcharge_amount),0)</f>
        <v>0</v>
      </c>
      <c r="Z500" s="9">
        <f>Table1[[#This Row],[Federal Taxes Owed (Includes AMT)]]+Table1[[#This Row],[Obamacare surcharge premium]]</f>
        <v>43069</v>
      </c>
      <c r="AA500" s="9">
        <f>Table1[[#This Row],[taxable wages]]-Table1[[#This Row],[Federal Taxes Owed2]]</f>
        <v>188431</v>
      </c>
      <c r="AB500" s="51">
        <f t="shared" si="46"/>
        <v>0.32500000000000001</v>
      </c>
      <c r="AC500" s="41"/>
      <c r="AD500" s="13"/>
      <c r="AE500" s="13"/>
    </row>
    <row r="501" spans="2:31" x14ac:dyDescent="0.3">
      <c r="B501" s="41">
        <f t="shared" si="47"/>
        <v>232000</v>
      </c>
      <c r="C501" s="1">
        <f>Table1[[#This Row],[taxable wages]]</f>
        <v>232000</v>
      </c>
      <c r="D501" s="1">
        <f>Table1[[#This Row],[taxable wages]]+interest+dividends+short_term_capital_gains+long_term_capital_gains</f>
        <v>232000</v>
      </c>
      <c r="E501" s="1">
        <f>MAX(Table1[[#This Row],[earned income for EITC]:[Agi For Eitc Calc]])</f>
        <v>232000</v>
      </c>
      <c r="F501" s="1">
        <f>Table1[[#This Row],[taxable wages]]+interest+dividends+short_term_capital_gains+long_term_capital_gains-(trad_ira_contributions+MIN(student_loan_interest_cap,student_loan_interest))</f>
        <v>232000</v>
      </c>
      <c r="G501" s="1">
        <f t="shared" si="43"/>
        <v>12600</v>
      </c>
      <c r="H501" s="1">
        <f t="shared" si="44"/>
        <v>28350</v>
      </c>
      <c r="I501" s="1">
        <f>MAX(0,Table1[[#This Row],[Agi]]-Table1[[#This Row],[Exemptions]]-Table1[[#This Row],[Effective Deductions]])</f>
        <v>191050</v>
      </c>
      <c r="J5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40479.5</v>
      </c>
      <c r="K501" s="1">
        <f t="shared" si="45"/>
        <v>5000</v>
      </c>
      <c r="L501" s="1">
        <f>IF(Table1[[#This Row],[Agi]]&gt;ctc_phase_out_begins,ctc_phase_out_rate*(Table1[[#This Row],[Agi]]-ctc_phase_out_begins),0)</f>
        <v>6100</v>
      </c>
      <c r="M501" s="1">
        <f>MAX(Table1[[#This Row],[Child Tax Credit]]-Table1[[#This Row],[Child Tax Credit Phase Out]],0)</f>
        <v>0</v>
      </c>
      <c r="N501" s="1">
        <f>MAX(Table1[[#This Row],[Regular Taxes Owed]]-Table1[[#This Row],[Effective Child Tax Credit]],0)</f>
        <v>40479.5</v>
      </c>
      <c r="O501" s="1">
        <f>MAX(MIN((Table1[[#This Row],[taxable wages]]-3000)*0.15,1000*num_kids_16_younger),0)</f>
        <v>5000</v>
      </c>
      <c r="P501" s="9">
        <f>IF(Table1[[#This Row],[Effective Child Tax Credit]]&gt;Table1[[#This Row],[Regular Taxes Owed]],Table1[[#This Row],[Additional Child Tax Credit ]]-Table1[[#This Row],[Regular Taxes Owed]],0)</f>
        <v>0</v>
      </c>
      <c r="Q5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1" s="1">
        <f>Table1[[#This Row],[Effective Additional Child Tax Credit]]+Table1[[#This Row],[Eitc]]</f>
        <v>0</v>
      </c>
      <c r="S501" s="9">
        <f>Table1[[#This Row],[Regular Taxes Owed - Effective Child Tax Credit]]-Table1[[#This Row],[Total Credits]]</f>
        <v>40479.5</v>
      </c>
      <c r="T501" s="9">
        <f>Table1[[#This Row],[taxable wages]]+interest+dividends+short_term_capital_gains+long_term_capital_gains-(charitable_donations+mortgage_interest)</f>
        <v>232000</v>
      </c>
      <c r="U501" s="9">
        <f>MAX(amt_exemption-amt_exemption_phase_out_rate*MAX(Table1[[#This Row],[taxable wages]]-amt_phase_out_begins,0),0)</f>
        <v>65725</v>
      </c>
      <c r="V5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43231.5</v>
      </c>
      <c r="W501" s="1">
        <f>IF(AND(Table1[[#This Row],[AMT Taxes]]&gt;Table1[[#This Row],[Regular Taxes Owed]],Table1[[#This Row],[AMT Taxes]]&gt;0),Table1[[#This Row],[AMT Taxes]]-Table1[[#This Row],[Regular Taxes Owed]],0)</f>
        <v>2752</v>
      </c>
      <c r="X501" s="9">
        <f>Table1[[#This Row],[Extra Taxes From Amt]]+Table1[[#This Row],[Federal Taxes Owed (No AMT)]]</f>
        <v>43231.5</v>
      </c>
      <c r="Y501" s="9">
        <f>IF(Table1[[#This Row],[taxable wages]]&gt;obamacare_surcharge_amount,obamacare_surcharge_percent*(Table1[[#This Row],[taxable wages]]-obamacare_surcharge_amount),0)</f>
        <v>0</v>
      </c>
      <c r="Z501" s="9">
        <f>Table1[[#This Row],[Federal Taxes Owed (Includes AMT)]]+Table1[[#This Row],[Obamacare surcharge premium]]</f>
        <v>43231.5</v>
      </c>
      <c r="AA501" s="9">
        <f>Table1[[#This Row],[taxable wages]]-Table1[[#This Row],[Federal Taxes Owed2]]</f>
        <v>188768.5</v>
      </c>
      <c r="AB501" s="51">
        <f t="shared" si="46"/>
        <v>0.32500000000000001</v>
      </c>
      <c r="AC501" s="41"/>
      <c r="AD501" s="13"/>
      <c r="AE501" s="13"/>
    </row>
    <row r="502" spans="2:31" x14ac:dyDescent="0.3">
      <c r="B502" s="41">
        <f t="shared" si="47"/>
        <v>232500</v>
      </c>
      <c r="C502" s="1">
        <f>Table1[[#This Row],[taxable wages]]</f>
        <v>232500</v>
      </c>
      <c r="D502" s="1">
        <f>Table1[[#This Row],[taxable wages]]+interest+dividends+short_term_capital_gains+long_term_capital_gains</f>
        <v>232500</v>
      </c>
      <c r="E502" s="1">
        <f>MAX(Table1[[#This Row],[earned income for EITC]:[Agi For Eitc Calc]])</f>
        <v>232500</v>
      </c>
      <c r="F502" s="1">
        <f>Table1[[#This Row],[taxable wages]]+interest+dividends+short_term_capital_gains+long_term_capital_gains-(trad_ira_contributions+MIN(student_loan_interest_cap,student_loan_interest))</f>
        <v>232500</v>
      </c>
      <c r="G502" s="1">
        <f t="shared" si="43"/>
        <v>12600</v>
      </c>
      <c r="H502" s="1">
        <f t="shared" si="44"/>
        <v>28350</v>
      </c>
      <c r="I502" s="1">
        <f>MAX(0,Table1[[#This Row],[Agi]]-Table1[[#This Row],[Exemptions]]-Table1[[#This Row],[Effective Deductions]])</f>
        <v>191550</v>
      </c>
      <c r="J5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40619.5</v>
      </c>
      <c r="K502" s="1">
        <f t="shared" si="45"/>
        <v>5000</v>
      </c>
      <c r="L502" s="1">
        <f>IF(Table1[[#This Row],[Agi]]&gt;ctc_phase_out_begins,ctc_phase_out_rate*(Table1[[#This Row],[Agi]]-ctc_phase_out_begins),0)</f>
        <v>6125</v>
      </c>
      <c r="M502" s="1">
        <f>MAX(Table1[[#This Row],[Child Tax Credit]]-Table1[[#This Row],[Child Tax Credit Phase Out]],0)</f>
        <v>0</v>
      </c>
      <c r="N502" s="1">
        <f>MAX(Table1[[#This Row],[Regular Taxes Owed]]-Table1[[#This Row],[Effective Child Tax Credit]],0)</f>
        <v>40619.5</v>
      </c>
      <c r="O502" s="1">
        <f>MAX(MIN((Table1[[#This Row],[taxable wages]]-3000)*0.15,1000*num_kids_16_younger),0)</f>
        <v>5000</v>
      </c>
      <c r="P502" s="9">
        <f>IF(Table1[[#This Row],[Effective Child Tax Credit]]&gt;Table1[[#This Row],[Regular Taxes Owed]],Table1[[#This Row],[Additional Child Tax Credit ]]-Table1[[#This Row],[Regular Taxes Owed]],0)</f>
        <v>0</v>
      </c>
      <c r="Q5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2" s="1">
        <f>Table1[[#This Row],[Effective Additional Child Tax Credit]]+Table1[[#This Row],[Eitc]]</f>
        <v>0</v>
      </c>
      <c r="S502" s="9">
        <f>Table1[[#This Row],[Regular Taxes Owed - Effective Child Tax Credit]]-Table1[[#This Row],[Total Credits]]</f>
        <v>40619.5</v>
      </c>
      <c r="T502" s="9">
        <f>Table1[[#This Row],[taxable wages]]+interest+dividends+short_term_capital_gains+long_term_capital_gains-(charitable_donations+mortgage_interest)</f>
        <v>232500</v>
      </c>
      <c r="U502" s="9">
        <f>MAX(amt_exemption-amt_exemption_phase_out_rate*MAX(Table1[[#This Row],[taxable wages]]-amt_phase_out_begins,0),0)</f>
        <v>65600</v>
      </c>
      <c r="V5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43394</v>
      </c>
      <c r="W502" s="1">
        <f>IF(AND(Table1[[#This Row],[AMT Taxes]]&gt;Table1[[#This Row],[Regular Taxes Owed]],Table1[[#This Row],[AMT Taxes]]&gt;0),Table1[[#This Row],[AMT Taxes]]-Table1[[#This Row],[Regular Taxes Owed]],0)</f>
        <v>2774.5</v>
      </c>
      <c r="X502" s="9">
        <f>Table1[[#This Row],[Extra Taxes From Amt]]+Table1[[#This Row],[Federal Taxes Owed (No AMT)]]</f>
        <v>43394</v>
      </c>
      <c r="Y502" s="9">
        <f>IF(Table1[[#This Row],[taxable wages]]&gt;obamacare_surcharge_amount,obamacare_surcharge_percent*(Table1[[#This Row],[taxable wages]]-obamacare_surcharge_amount),0)</f>
        <v>0</v>
      </c>
      <c r="Z502" s="9">
        <f>Table1[[#This Row],[Federal Taxes Owed (Includes AMT)]]+Table1[[#This Row],[Obamacare surcharge premium]]</f>
        <v>43394</v>
      </c>
      <c r="AA502" s="9">
        <f>Table1[[#This Row],[taxable wages]]-Table1[[#This Row],[Federal Taxes Owed2]]</f>
        <v>189106</v>
      </c>
      <c r="AB502" s="51">
        <f t="shared" si="46"/>
        <v>0.32500000000000001</v>
      </c>
      <c r="AC502" s="41"/>
      <c r="AD502" s="13"/>
      <c r="AE502" s="13"/>
    </row>
    <row r="503" spans="2:31" x14ac:dyDescent="0.3">
      <c r="B503" s="41">
        <f t="shared" si="47"/>
        <v>233000</v>
      </c>
      <c r="C503" s="1">
        <f>Table1[[#This Row],[taxable wages]]</f>
        <v>233000</v>
      </c>
      <c r="D503" s="1">
        <f>Table1[[#This Row],[taxable wages]]+interest+dividends+short_term_capital_gains+long_term_capital_gains</f>
        <v>233000</v>
      </c>
      <c r="E503" s="1">
        <f>MAX(Table1[[#This Row],[earned income for EITC]:[Agi For Eitc Calc]])</f>
        <v>233000</v>
      </c>
      <c r="F503" s="1">
        <f>Table1[[#This Row],[taxable wages]]+interest+dividends+short_term_capital_gains+long_term_capital_gains-(trad_ira_contributions+MIN(student_loan_interest_cap,student_loan_interest))</f>
        <v>233000</v>
      </c>
      <c r="G503" s="1">
        <f t="shared" si="43"/>
        <v>12600</v>
      </c>
      <c r="H503" s="1">
        <f t="shared" si="44"/>
        <v>28350</v>
      </c>
      <c r="I503" s="1">
        <f>MAX(0,Table1[[#This Row],[Agi]]-Table1[[#This Row],[Exemptions]]-Table1[[#This Row],[Effective Deductions]])</f>
        <v>192050</v>
      </c>
      <c r="J5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40759.5</v>
      </c>
      <c r="K503" s="1">
        <f t="shared" si="45"/>
        <v>5000</v>
      </c>
      <c r="L503" s="1">
        <f>IF(Table1[[#This Row],[Agi]]&gt;ctc_phase_out_begins,ctc_phase_out_rate*(Table1[[#This Row],[Agi]]-ctc_phase_out_begins),0)</f>
        <v>6150</v>
      </c>
      <c r="M503" s="1">
        <f>MAX(Table1[[#This Row],[Child Tax Credit]]-Table1[[#This Row],[Child Tax Credit Phase Out]],0)</f>
        <v>0</v>
      </c>
      <c r="N503" s="1">
        <f>MAX(Table1[[#This Row],[Regular Taxes Owed]]-Table1[[#This Row],[Effective Child Tax Credit]],0)</f>
        <v>40759.5</v>
      </c>
      <c r="O503" s="1">
        <f>MAX(MIN((Table1[[#This Row],[taxable wages]]-3000)*0.15,1000*num_kids_16_younger),0)</f>
        <v>5000</v>
      </c>
      <c r="P503" s="9">
        <f>IF(Table1[[#This Row],[Effective Child Tax Credit]]&gt;Table1[[#This Row],[Regular Taxes Owed]],Table1[[#This Row],[Additional Child Tax Credit ]]-Table1[[#This Row],[Regular Taxes Owed]],0)</f>
        <v>0</v>
      </c>
      <c r="Q5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3" s="1">
        <f>Table1[[#This Row],[Effective Additional Child Tax Credit]]+Table1[[#This Row],[Eitc]]</f>
        <v>0</v>
      </c>
      <c r="S503" s="9">
        <f>Table1[[#This Row],[Regular Taxes Owed - Effective Child Tax Credit]]-Table1[[#This Row],[Total Credits]]</f>
        <v>40759.5</v>
      </c>
      <c r="T503" s="9">
        <f>Table1[[#This Row],[taxable wages]]+interest+dividends+short_term_capital_gains+long_term_capital_gains-(charitable_donations+mortgage_interest)</f>
        <v>233000</v>
      </c>
      <c r="U503" s="9">
        <f>MAX(amt_exemption-amt_exemption_phase_out_rate*MAX(Table1[[#This Row],[taxable wages]]-amt_phase_out_begins,0),0)</f>
        <v>65475</v>
      </c>
      <c r="V5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43556.5</v>
      </c>
      <c r="W503" s="1">
        <f>IF(AND(Table1[[#This Row],[AMT Taxes]]&gt;Table1[[#This Row],[Regular Taxes Owed]],Table1[[#This Row],[AMT Taxes]]&gt;0),Table1[[#This Row],[AMT Taxes]]-Table1[[#This Row],[Regular Taxes Owed]],0)</f>
        <v>2797</v>
      </c>
      <c r="X503" s="9">
        <f>Table1[[#This Row],[Extra Taxes From Amt]]+Table1[[#This Row],[Federal Taxes Owed (No AMT)]]</f>
        <v>43556.5</v>
      </c>
      <c r="Y503" s="9">
        <f>IF(Table1[[#This Row],[taxable wages]]&gt;obamacare_surcharge_amount,obamacare_surcharge_percent*(Table1[[#This Row],[taxable wages]]-obamacare_surcharge_amount),0)</f>
        <v>0</v>
      </c>
      <c r="Z503" s="9">
        <f>Table1[[#This Row],[Federal Taxes Owed (Includes AMT)]]+Table1[[#This Row],[Obamacare surcharge premium]]</f>
        <v>43556.5</v>
      </c>
      <c r="AA503" s="9">
        <f>Table1[[#This Row],[taxable wages]]-Table1[[#This Row],[Federal Taxes Owed2]]</f>
        <v>189443.5</v>
      </c>
      <c r="AB503" s="51">
        <f t="shared" si="46"/>
        <v>0.32500000000000001</v>
      </c>
      <c r="AC503" s="41"/>
      <c r="AD503" s="13"/>
      <c r="AE503" s="13"/>
    </row>
    <row r="504" spans="2:31" x14ac:dyDescent="0.3">
      <c r="B504" s="41">
        <f t="shared" si="47"/>
        <v>233500</v>
      </c>
      <c r="C504" s="1">
        <f>Table1[[#This Row],[taxable wages]]</f>
        <v>233500</v>
      </c>
      <c r="D504" s="1">
        <f>Table1[[#This Row],[taxable wages]]+interest+dividends+short_term_capital_gains+long_term_capital_gains</f>
        <v>233500</v>
      </c>
      <c r="E504" s="1">
        <f>MAX(Table1[[#This Row],[earned income for EITC]:[Agi For Eitc Calc]])</f>
        <v>233500</v>
      </c>
      <c r="F504" s="1">
        <f>Table1[[#This Row],[taxable wages]]+interest+dividends+short_term_capital_gains+long_term_capital_gains-(trad_ira_contributions+MIN(student_loan_interest_cap,student_loan_interest))</f>
        <v>233500</v>
      </c>
      <c r="G504" s="1">
        <f t="shared" si="43"/>
        <v>12600</v>
      </c>
      <c r="H504" s="1">
        <f t="shared" si="44"/>
        <v>28350</v>
      </c>
      <c r="I504" s="1">
        <f>MAX(0,Table1[[#This Row],[Agi]]-Table1[[#This Row],[Exemptions]]-Table1[[#This Row],[Effective Deductions]])</f>
        <v>192550</v>
      </c>
      <c r="J5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40899.5</v>
      </c>
      <c r="K504" s="1">
        <f t="shared" si="45"/>
        <v>5000</v>
      </c>
      <c r="L504" s="1">
        <f>IF(Table1[[#This Row],[Agi]]&gt;ctc_phase_out_begins,ctc_phase_out_rate*(Table1[[#This Row],[Agi]]-ctc_phase_out_begins),0)</f>
        <v>6175</v>
      </c>
      <c r="M504" s="1">
        <f>MAX(Table1[[#This Row],[Child Tax Credit]]-Table1[[#This Row],[Child Tax Credit Phase Out]],0)</f>
        <v>0</v>
      </c>
      <c r="N504" s="1">
        <f>MAX(Table1[[#This Row],[Regular Taxes Owed]]-Table1[[#This Row],[Effective Child Tax Credit]],0)</f>
        <v>40899.5</v>
      </c>
      <c r="O504" s="1">
        <f>MAX(MIN((Table1[[#This Row],[taxable wages]]-3000)*0.15,1000*num_kids_16_younger),0)</f>
        <v>5000</v>
      </c>
      <c r="P504" s="9">
        <f>IF(Table1[[#This Row],[Effective Child Tax Credit]]&gt;Table1[[#This Row],[Regular Taxes Owed]],Table1[[#This Row],[Additional Child Tax Credit ]]-Table1[[#This Row],[Regular Taxes Owed]],0)</f>
        <v>0</v>
      </c>
      <c r="Q5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4" s="1">
        <f>Table1[[#This Row],[Effective Additional Child Tax Credit]]+Table1[[#This Row],[Eitc]]</f>
        <v>0</v>
      </c>
      <c r="S504" s="9">
        <f>Table1[[#This Row],[Regular Taxes Owed - Effective Child Tax Credit]]-Table1[[#This Row],[Total Credits]]</f>
        <v>40899.5</v>
      </c>
      <c r="T504" s="9">
        <f>Table1[[#This Row],[taxable wages]]+interest+dividends+short_term_capital_gains+long_term_capital_gains-(charitable_donations+mortgage_interest)</f>
        <v>233500</v>
      </c>
      <c r="U504" s="9">
        <f>MAX(amt_exemption-amt_exemption_phase_out_rate*MAX(Table1[[#This Row],[taxable wages]]-amt_phase_out_begins,0),0)</f>
        <v>65350</v>
      </c>
      <c r="V5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43719</v>
      </c>
      <c r="W504" s="1">
        <f>IF(AND(Table1[[#This Row],[AMT Taxes]]&gt;Table1[[#This Row],[Regular Taxes Owed]],Table1[[#This Row],[AMT Taxes]]&gt;0),Table1[[#This Row],[AMT Taxes]]-Table1[[#This Row],[Regular Taxes Owed]],0)</f>
        <v>2819.5</v>
      </c>
      <c r="X504" s="9">
        <f>Table1[[#This Row],[Extra Taxes From Amt]]+Table1[[#This Row],[Federal Taxes Owed (No AMT)]]</f>
        <v>43719</v>
      </c>
      <c r="Y504" s="9">
        <f>IF(Table1[[#This Row],[taxable wages]]&gt;obamacare_surcharge_amount,obamacare_surcharge_percent*(Table1[[#This Row],[taxable wages]]-obamacare_surcharge_amount),0)</f>
        <v>0</v>
      </c>
      <c r="Z504" s="9">
        <f>Table1[[#This Row],[Federal Taxes Owed (Includes AMT)]]+Table1[[#This Row],[Obamacare surcharge premium]]</f>
        <v>43719</v>
      </c>
      <c r="AA504" s="9">
        <f>Table1[[#This Row],[taxable wages]]-Table1[[#This Row],[Federal Taxes Owed2]]</f>
        <v>189781</v>
      </c>
      <c r="AB504" s="51">
        <f t="shared" si="46"/>
        <v>0.32500000000000001</v>
      </c>
      <c r="AC504" s="41"/>
      <c r="AD504" s="13"/>
      <c r="AE504" s="13"/>
    </row>
    <row r="505" spans="2:31" x14ac:dyDescent="0.3">
      <c r="B505" s="41">
        <f t="shared" si="47"/>
        <v>234000</v>
      </c>
      <c r="C505" s="1">
        <f>Table1[[#This Row],[taxable wages]]</f>
        <v>234000</v>
      </c>
      <c r="D505" s="1">
        <f>Table1[[#This Row],[taxable wages]]+interest+dividends+short_term_capital_gains+long_term_capital_gains</f>
        <v>234000</v>
      </c>
      <c r="E505" s="1">
        <f>MAX(Table1[[#This Row],[earned income for EITC]:[Agi For Eitc Calc]])</f>
        <v>234000</v>
      </c>
      <c r="F505" s="1">
        <f>Table1[[#This Row],[taxable wages]]+interest+dividends+short_term_capital_gains+long_term_capital_gains-(trad_ira_contributions+MIN(student_loan_interest_cap,student_loan_interest))</f>
        <v>234000</v>
      </c>
      <c r="G505" s="1">
        <f t="shared" si="43"/>
        <v>12600</v>
      </c>
      <c r="H505" s="1">
        <f t="shared" si="44"/>
        <v>28350</v>
      </c>
      <c r="I505" s="1">
        <f>MAX(0,Table1[[#This Row],[Agi]]-Table1[[#This Row],[Exemptions]]-Table1[[#This Row],[Effective Deductions]])</f>
        <v>193050</v>
      </c>
      <c r="J5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41039.5</v>
      </c>
      <c r="K505" s="1">
        <f t="shared" si="45"/>
        <v>5000</v>
      </c>
      <c r="L505" s="1">
        <f>IF(Table1[[#This Row],[Agi]]&gt;ctc_phase_out_begins,ctc_phase_out_rate*(Table1[[#This Row],[Agi]]-ctc_phase_out_begins),0)</f>
        <v>6200</v>
      </c>
      <c r="M505" s="1">
        <f>MAX(Table1[[#This Row],[Child Tax Credit]]-Table1[[#This Row],[Child Tax Credit Phase Out]],0)</f>
        <v>0</v>
      </c>
      <c r="N505" s="1">
        <f>MAX(Table1[[#This Row],[Regular Taxes Owed]]-Table1[[#This Row],[Effective Child Tax Credit]],0)</f>
        <v>41039.5</v>
      </c>
      <c r="O505" s="1">
        <f>MAX(MIN((Table1[[#This Row],[taxable wages]]-3000)*0.15,1000*num_kids_16_younger),0)</f>
        <v>5000</v>
      </c>
      <c r="P505" s="9">
        <f>IF(Table1[[#This Row],[Effective Child Tax Credit]]&gt;Table1[[#This Row],[Regular Taxes Owed]],Table1[[#This Row],[Additional Child Tax Credit ]]-Table1[[#This Row],[Regular Taxes Owed]],0)</f>
        <v>0</v>
      </c>
      <c r="Q5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5" s="1">
        <f>Table1[[#This Row],[Effective Additional Child Tax Credit]]+Table1[[#This Row],[Eitc]]</f>
        <v>0</v>
      </c>
      <c r="S505" s="9">
        <f>Table1[[#This Row],[Regular Taxes Owed - Effective Child Tax Credit]]-Table1[[#This Row],[Total Credits]]</f>
        <v>41039.5</v>
      </c>
      <c r="T505" s="9">
        <f>Table1[[#This Row],[taxable wages]]+interest+dividends+short_term_capital_gains+long_term_capital_gains-(charitable_donations+mortgage_interest)</f>
        <v>234000</v>
      </c>
      <c r="U505" s="9">
        <f>MAX(amt_exemption-amt_exemption_phase_out_rate*MAX(Table1[[#This Row],[taxable wages]]-amt_phase_out_begins,0),0)</f>
        <v>65225</v>
      </c>
      <c r="V5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43881.5</v>
      </c>
      <c r="W505" s="1">
        <f>IF(AND(Table1[[#This Row],[AMT Taxes]]&gt;Table1[[#This Row],[Regular Taxes Owed]],Table1[[#This Row],[AMT Taxes]]&gt;0),Table1[[#This Row],[AMT Taxes]]-Table1[[#This Row],[Regular Taxes Owed]],0)</f>
        <v>2842</v>
      </c>
      <c r="X505" s="9">
        <f>Table1[[#This Row],[Extra Taxes From Amt]]+Table1[[#This Row],[Federal Taxes Owed (No AMT)]]</f>
        <v>43881.5</v>
      </c>
      <c r="Y505" s="9">
        <f>IF(Table1[[#This Row],[taxable wages]]&gt;obamacare_surcharge_amount,obamacare_surcharge_percent*(Table1[[#This Row],[taxable wages]]-obamacare_surcharge_amount),0)</f>
        <v>0</v>
      </c>
      <c r="Z505" s="9">
        <f>Table1[[#This Row],[Federal Taxes Owed (Includes AMT)]]+Table1[[#This Row],[Obamacare surcharge premium]]</f>
        <v>43881.5</v>
      </c>
      <c r="AA505" s="9">
        <f>Table1[[#This Row],[taxable wages]]-Table1[[#This Row],[Federal Taxes Owed2]]</f>
        <v>190118.5</v>
      </c>
      <c r="AB505" s="51">
        <f t="shared" si="46"/>
        <v>0.32500000000000001</v>
      </c>
      <c r="AC505" s="41"/>
      <c r="AD505" s="13"/>
      <c r="AE505" s="13"/>
    </row>
    <row r="506" spans="2:31" x14ac:dyDescent="0.3">
      <c r="B506" s="41">
        <f t="shared" si="47"/>
        <v>234500</v>
      </c>
      <c r="C506" s="1">
        <f>Table1[[#This Row],[taxable wages]]</f>
        <v>234500</v>
      </c>
      <c r="D506" s="1">
        <f>Table1[[#This Row],[taxable wages]]+interest+dividends+short_term_capital_gains+long_term_capital_gains</f>
        <v>234500</v>
      </c>
      <c r="E506" s="1">
        <f>MAX(Table1[[#This Row],[earned income for EITC]:[Agi For Eitc Calc]])</f>
        <v>234500</v>
      </c>
      <c r="F506" s="1">
        <f>Table1[[#This Row],[taxable wages]]+interest+dividends+short_term_capital_gains+long_term_capital_gains-(trad_ira_contributions+MIN(student_loan_interest_cap,student_loan_interest))</f>
        <v>234500</v>
      </c>
      <c r="G506" s="1">
        <f t="shared" si="43"/>
        <v>12600</v>
      </c>
      <c r="H506" s="1">
        <f t="shared" si="44"/>
        <v>28350</v>
      </c>
      <c r="I506" s="1">
        <f>MAX(0,Table1[[#This Row],[Agi]]-Table1[[#This Row],[Exemptions]]-Table1[[#This Row],[Effective Deductions]])</f>
        <v>193550</v>
      </c>
      <c r="J5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41179.5</v>
      </c>
      <c r="K506" s="1">
        <f t="shared" si="45"/>
        <v>5000</v>
      </c>
      <c r="L506" s="1">
        <f>IF(Table1[[#This Row],[Agi]]&gt;ctc_phase_out_begins,ctc_phase_out_rate*(Table1[[#This Row],[Agi]]-ctc_phase_out_begins),0)</f>
        <v>6225</v>
      </c>
      <c r="M506" s="1">
        <f>MAX(Table1[[#This Row],[Child Tax Credit]]-Table1[[#This Row],[Child Tax Credit Phase Out]],0)</f>
        <v>0</v>
      </c>
      <c r="N506" s="1">
        <f>MAX(Table1[[#This Row],[Regular Taxes Owed]]-Table1[[#This Row],[Effective Child Tax Credit]],0)</f>
        <v>41179.5</v>
      </c>
      <c r="O506" s="1">
        <f>MAX(MIN((Table1[[#This Row],[taxable wages]]-3000)*0.15,1000*num_kids_16_younger),0)</f>
        <v>5000</v>
      </c>
      <c r="P506" s="9">
        <f>IF(Table1[[#This Row],[Effective Child Tax Credit]]&gt;Table1[[#This Row],[Regular Taxes Owed]],Table1[[#This Row],[Additional Child Tax Credit ]]-Table1[[#This Row],[Regular Taxes Owed]],0)</f>
        <v>0</v>
      </c>
      <c r="Q5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6" s="1">
        <f>Table1[[#This Row],[Effective Additional Child Tax Credit]]+Table1[[#This Row],[Eitc]]</f>
        <v>0</v>
      </c>
      <c r="S506" s="9">
        <f>Table1[[#This Row],[Regular Taxes Owed - Effective Child Tax Credit]]-Table1[[#This Row],[Total Credits]]</f>
        <v>41179.5</v>
      </c>
      <c r="T506" s="9">
        <f>Table1[[#This Row],[taxable wages]]+interest+dividends+short_term_capital_gains+long_term_capital_gains-(charitable_donations+mortgage_interest)</f>
        <v>234500</v>
      </c>
      <c r="U506" s="9">
        <f>MAX(amt_exemption-amt_exemption_phase_out_rate*MAX(Table1[[#This Row],[taxable wages]]-amt_phase_out_begins,0),0)</f>
        <v>65100</v>
      </c>
      <c r="V5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44044</v>
      </c>
      <c r="W506" s="1">
        <f>IF(AND(Table1[[#This Row],[AMT Taxes]]&gt;Table1[[#This Row],[Regular Taxes Owed]],Table1[[#This Row],[AMT Taxes]]&gt;0),Table1[[#This Row],[AMT Taxes]]-Table1[[#This Row],[Regular Taxes Owed]],0)</f>
        <v>2864.5</v>
      </c>
      <c r="X506" s="9">
        <f>Table1[[#This Row],[Extra Taxes From Amt]]+Table1[[#This Row],[Federal Taxes Owed (No AMT)]]</f>
        <v>44044</v>
      </c>
      <c r="Y506" s="9">
        <f>IF(Table1[[#This Row],[taxable wages]]&gt;obamacare_surcharge_amount,obamacare_surcharge_percent*(Table1[[#This Row],[taxable wages]]-obamacare_surcharge_amount),0)</f>
        <v>0</v>
      </c>
      <c r="Z506" s="9">
        <f>Table1[[#This Row],[Federal Taxes Owed (Includes AMT)]]+Table1[[#This Row],[Obamacare surcharge premium]]</f>
        <v>44044</v>
      </c>
      <c r="AA506" s="9">
        <f>Table1[[#This Row],[taxable wages]]-Table1[[#This Row],[Federal Taxes Owed2]]</f>
        <v>190456</v>
      </c>
      <c r="AB506" s="51">
        <f t="shared" si="46"/>
        <v>0.32500000000000001</v>
      </c>
      <c r="AC506" s="41"/>
      <c r="AD506" s="13"/>
      <c r="AE506" s="13"/>
    </row>
    <row r="507" spans="2:31" x14ac:dyDescent="0.3">
      <c r="B507" s="41">
        <f t="shared" si="47"/>
        <v>235000</v>
      </c>
      <c r="C507" s="1">
        <f>Table1[[#This Row],[taxable wages]]</f>
        <v>235000</v>
      </c>
      <c r="D507" s="1">
        <f>Table1[[#This Row],[taxable wages]]+interest+dividends+short_term_capital_gains+long_term_capital_gains</f>
        <v>235000</v>
      </c>
      <c r="E507" s="1">
        <f>MAX(Table1[[#This Row],[earned income for EITC]:[Agi For Eitc Calc]])</f>
        <v>235000</v>
      </c>
      <c r="F507" s="1">
        <f>Table1[[#This Row],[taxable wages]]+interest+dividends+short_term_capital_gains+long_term_capital_gains-(trad_ira_contributions+MIN(student_loan_interest_cap,student_loan_interest))</f>
        <v>235000</v>
      </c>
      <c r="G507" s="1">
        <f t="shared" si="43"/>
        <v>12600</v>
      </c>
      <c r="H507" s="1">
        <f t="shared" si="44"/>
        <v>28350</v>
      </c>
      <c r="I507" s="1">
        <f>MAX(0,Table1[[#This Row],[Agi]]-Table1[[#This Row],[Exemptions]]-Table1[[#This Row],[Effective Deductions]])</f>
        <v>194050</v>
      </c>
      <c r="J5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41319.5</v>
      </c>
      <c r="K507" s="1">
        <f t="shared" si="45"/>
        <v>5000</v>
      </c>
      <c r="L507" s="1">
        <f>IF(Table1[[#This Row],[Agi]]&gt;ctc_phase_out_begins,ctc_phase_out_rate*(Table1[[#This Row],[Agi]]-ctc_phase_out_begins),0)</f>
        <v>6250</v>
      </c>
      <c r="M507" s="1">
        <f>MAX(Table1[[#This Row],[Child Tax Credit]]-Table1[[#This Row],[Child Tax Credit Phase Out]],0)</f>
        <v>0</v>
      </c>
      <c r="N507" s="1">
        <f>MAX(Table1[[#This Row],[Regular Taxes Owed]]-Table1[[#This Row],[Effective Child Tax Credit]],0)</f>
        <v>41319.5</v>
      </c>
      <c r="O507" s="1">
        <f>MAX(MIN((Table1[[#This Row],[taxable wages]]-3000)*0.15,1000*num_kids_16_younger),0)</f>
        <v>5000</v>
      </c>
      <c r="P507" s="9">
        <f>IF(Table1[[#This Row],[Effective Child Tax Credit]]&gt;Table1[[#This Row],[Regular Taxes Owed]],Table1[[#This Row],[Additional Child Tax Credit ]]-Table1[[#This Row],[Regular Taxes Owed]],0)</f>
        <v>0</v>
      </c>
      <c r="Q5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7" s="1">
        <f>Table1[[#This Row],[Effective Additional Child Tax Credit]]+Table1[[#This Row],[Eitc]]</f>
        <v>0</v>
      </c>
      <c r="S507" s="9">
        <f>Table1[[#This Row],[Regular Taxes Owed - Effective Child Tax Credit]]-Table1[[#This Row],[Total Credits]]</f>
        <v>41319.5</v>
      </c>
      <c r="T507" s="9">
        <f>Table1[[#This Row],[taxable wages]]+interest+dividends+short_term_capital_gains+long_term_capital_gains-(charitable_donations+mortgage_interest)</f>
        <v>235000</v>
      </c>
      <c r="U507" s="9">
        <f>MAX(amt_exemption-amt_exemption_phase_out_rate*MAX(Table1[[#This Row],[taxable wages]]-amt_phase_out_begins,0),0)</f>
        <v>64975</v>
      </c>
      <c r="V5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44206.5</v>
      </c>
      <c r="W507" s="1">
        <f>IF(AND(Table1[[#This Row],[AMT Taxes]]&gt;Table1[[#This Row],[Regular Taxes Owed]],Table1[[#This Row],[AMT Taxes]]&gt;0),Table1[[#This Row],[AMT Taxes]]-Table1[[#This Row],[Regular Taxes Owed]],0)</f>
        <v>2887</v>
      </c>
      <c r="X507" s="9">
        <f>Table1[[#This Row],[Extra Taxes From Amt]]+Table1[[#This Row],[Federal Taxes Owed (No AMT)]]</f>
        <v>44206.5</v>
      </c>
      <c r="Y507" s="9">
        <f>IF(Table1[[#This Row],[taxable wages]]&gt;obamacare_surcharge_amount,obamacare_surcharge_percent*(Table1[[#This Row],[taxable wages]]-obamacare_surcharge_amount),0)</f>
        <v>0</v>
      </c>
      <c r="Z507" s="9">
        <f>Table1[[#This Row],[Federal Taxes Owed (Includes AMT)]]+Table1[[#This Row],[Obamacare surcharge premium]]</f>
        <v>44206.5</v>
      </c>
      <c r="AA507" s="9">
        <f>Table1[[#This Row],[taxable wages]]-Table1[[#This Row],[Federal Taxes Owed2]]</f>
        <v>190793.5</v>
      </c>
      <c r="AB507" s="51">
        <f t="shared" si="46"/>
        <v>0.32500000000000001</v>
      </c>
      <c r="AC507" s="41"/>
      <c r="AD507" s="13"/>
      <c r="AE507" s="13"/>
    </row>
    <row r="508" spans="2:31" x14ac:dyDescent="0.3">
      <c r="B508" s="41">
        <f t="shared" si="47"/>
        <v>235500</v>
      </c>
      <c r="C508" s="1">
        <f>Table1[[#This Row],[taxable wages]]</f>
        <v>235500</v>
      </c>
      <c r="D508" s="1">
        <f>Table1[[#This Row],[taxable wages]]+interest+dividends+short_term_capital_gains+long_term_capital_gains</f>
        <v>235500</v>
      </c>
      <c r="E508" s="1">
        <f>MAX(Table1[[#This Row],[earned income for EITC]:[Agi For Eitc Calc]])</f>
        <v>235500</v>
      </c>
      <c r="F508" s="1">
        <f>Table1[[#This Row],[taxable wages]]+interest+dividends+short_term_capital_gains+long_term_capital_gains-(trad_ira_contributions+MIN(student_loan_interest_cap,student_loan_interest))</f>
        <v>235500</v>
      </c>
      <c r="G508" s="1">
        <f t="shared" si="43"/>
        <v>12600</v>
      </c>
      <c r="H508" s="1">
        <f t="shared" si="44"/>
        <v>28350</v>
      </c>
      <c r="I508" s="1">
        <f>MAX(0,Table1[[#This Row],[Agi]]-Table1[[#This Row],[Exemptions]]-Table1[[#This Row],[Effective Deductions]])</f>
        <v>194550</v>
      </c>
      <c r="J5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41459.5</v>
      </c>
      <c r="K508" s="1">
        <f t="shared" si="45"/>
        <v>5000</v>
      </c>
      <c r="L508" s="1">
        <f>IF(Table1[[#This Row],[Agi]]&gt;ctc_phase_out_begins,ctc_phase_out_rate*(Table1[[#This Row],[Agi]]-ctc_phase_out_begins),0)</f>
        <v>6275</v>
      </c>
      <c r="M508" s="1">
        <f>MAX(Table1[[#This Row],[Child Tax Credit]]-Table1[[#This Row],[Child Tax Credit Phase Out]],0)</f>
        <v>0</v>
      </c>
      <c r="N508" s="1">
        <f>MAX(Table1[[#This Row],[Regular Taxes Owed]]-Table1[[#This Row],[Effective Child Tax Credit]],0)</f>
        <v>41459.5</v>
      </c>
      <c r="O508" s="1">
        <f>MAX(MIN((Table1[[#This Row],[taxable wages]]-3000)*0.15,1000*num_kids_16_younger),0)</f>
        <v>5000</v>
      </c>
      <c r="P508" s="9">
        <f>IF(Table1[[#This Row],[Effective Child Tax Credit]]&gt;Table1[[#This Row],[Regular Taxes Owed]],Table1[[#This Row],[Additional Child Tax Credit ]]-Table1[[#This Row],[Regular Taxes Owed]],0)</f>
        <v>0</v>
      </c>
      <c r="Q5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8" s="1">
        <f>Table1[[#This Row],[Effective Additional Child Tax Credit]]+Table1[[#This Row],[Eitc]]</f>
        <v>0</v>
      </c>
      <c r="S508" s="9">
        <f>Table1[[#This Row],[Regular Taxes Owed - Effective Child Tax Credit]]-Table1[[#This Row],[Total Credits]]</f>
        <v>41459.5</v>
      </c>
      <c r="T508" s="9">
        <f>Table1[[#This Row],[taxable wages]]+interest+dividends+short_term_capital_gains+long_term_capital_gains-(charitable_donations+mortgage_interest)</f>
        <v>235500</v>
      </c>
      <c r="U508" s="9">
        <f>MAX(amt_exemption-amt_exemption_phase_out_rate*MAX(Table1[[#This Row],[taxable wages]]-amt_phase_out_begins,0),0)</f>
        <v>64850</v>
      </c>
      <c r="V5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44369</v>
      </c>
      <c r="W508" s="1">
        <f>IF(AND(Table1[[#This Row],[AMT Taxes]]&gt;Table1[[#This Row],[Regular Taxes Owed]],Table1[[#This Row],[AMT Taxes]]&gt;0),Table1[[#This Row],[AMT Taxes]]-Table1[[#This Row],[Regular Taxes Owed]],0)</f>
        <v>2909.5</v>
      </c>
      <c r="X508" s="9">
        <f>Table1[[#This Row],[Extra Taxes From Amt]]+Table1[[#This Row],[Federal Taxes Owed (No AMT)]]</f>
        <v>44369</v>
      </c>
      <c r="Y508" s="9">
        <f>IF(Table1[[#This Row],[taxable wages]]&gt;obamacare_surcharge_amount,obamacare_surcharge_percent*(Table1[[#This Row],[taxable wages]]-obamacare_surcharge_amount),0)</f>
        <v>0</v>
      </c>
      <c r="Z508" s="9">
        <f>Table1[[#This Row],[Federal Taxes Owed (Includes AMT)]]+Table1[[#This Row],[Obamacare surcharge premium]]</f>
        <v>44369</v>
      </c>
      <c r="AA508" s="9">
        <f>Table1[[#This Row],[taxable wages]]-Table1[[#This Row],[Federal Taxes Owed2]]</f>
        <v>191131</v>
      </c>
      <c r="AB508" s="51">
        <f t="shared" si="46"/>
        <v>0.32500000000000001</v>
      </c>
      <c r="AC508" s="41"/>
      <c r="AD508" s="13"/>
      <c r="AE508" s="13"/>
    </row>
    <row r="509" spans="2:31" x14ac:dyDescent="0.3">
      <c r="B509" s="41">
        <f t="shared" si="47"/>
        <v>236000</v>
      </c>
      <c r="C509" s="1">
        <f>Table1[[#This Row],[taxable wages]]</f>
        <v>236000</v>
      </c>
      <c r="D509" s="1">
        <f>Table1[[#This Row],[taxable wages]]+interest+dividends+short_term_capital_gains+long_term_capital_gains</f>
        <v>236000</v>
      </c>
      <c r="E509" s="1">
        <f>MAX(Table1[[#This Row],[earned income for EITC]:[Agi For Eitc Calc]])</f>
        <v>236000</v>
      </c>
      <c r="F509" s="1">
        <f>Table1[[#This Row],[taxable wages]]+interest+dividends+short_term_capital_gains+long_term_capital_gains-(trad_ira_contributions+MIN(student_loan_interest_cap,student_loan_interest))</f>
        <v>236000</v>
      </c>
      <c r="G509" s="1">
        <f t="shared" si="43"/>
        <v>12600</v>
      </c>
      <c r="H509" s="1">
        <f t="shared" si="44"/>
        <v>28350</v>
      </c>
      <c r="I509" s="1">
        <f>MAX(0,Table1[[#This Row],[Agi]]-Table1[[#This Row],[Exemptions]]-Table1[[#This Row],[Effective Deductions]])</f>
        <v>195050</v>
      </c>
      <c r="J5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41599.5</v>
      </c>
      <c r="K509" s="1">
        <f t="shared" si="45"/>
        <v>5000</v>
      </c>
      <c r="L509" s="1">
        <f>IF(Table1[[#This Row],[Agi]]&gt;ctc_phase_out_begins,ctc_phase_out_rate*(Table1[[#This Row],[Agi]]-ctc_phase_out_begins),0)</f>
        <v>6300</v>
      </c>
      <c r="M509" s="1">
        <f>MAX(Table1[[#This Row],[Child Tax Credit]]-Table1[[#This Row],[Child Tax Credit Phase Out]],0)</f>
        <v>0</v>
      </c>
      <c r="N509" s="1">
        <f>MAX(Table1[[#This Row],[Regular Taxes Owed]]-Table1[[#This Row],[Effective Child Tax Credit]],0)</f>
        <v>41599.5</v>
      </c>
      <c r="O509" s="1">
        <f>MAX(MIN((Table1[[#This Row],[taxable wages]]-3000)*0.15,1000*num_kids_16_younger),0)</f>
        <v>5000</v>
      </c>
      <c r="P509" s="9">
        <f>IF(Table1[[#This Row],[Effective Child Tax Credit]]&gt;Table1[[#This Row],[Regular Taxes Owed]],Table1[[#This Row],[Additional Child Tax Credit ]]-Table1[[#This Row],[Regular Taxes Owed]],0)</f>
        <v>0</v>
      </c>
      <c r="Q5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09" s="1">
        <f>Table1[[#This Row],[Effective Additional Child Tax Credit]]+Table1[[#This Row],[Eitc]]</f>
        <v>0</v>
      </c>
      <c r="S509" s="9">
        <f>Table1[[#This Row],[Regular Taxes Owed - Effective Child Tax Credit]]-Table1[[#This Row],[Total Credits]]</f>
        <v>41599.5</v>
      </c>
      <c r="T509" s="9">
        <f>Table1[[#This Row],[taxable wages]]+interest+dividends+short_term_capital_gains+long_term_capital_gains-(charitable_donations+mortgage_interest)</f>
        <v>236000</v>
      </c>
      <c r="U509" s="9">
        <f>MAX(amt_exemption-amt_exemption_phase_out_rate*MAX(Table1[[#This Row],[taxable wages]]-amt_phase_out_begins,0),0)</f>
        <v>64725</v>
      </c>
      <c r="V5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44531.5</v>
      </c>
      <c r="W509" s="1">
        <f>IF(AND(Table1[[#This Row],[AMT Taxes]]&gt;Table1[[#This Row],[Regular Taxes Owed]],Table1[[#This Row],[AMT Taxes]]&gt;0),Table1[[#This Row],[AMT Taxes]]-Table1[[#This Row],[Regular Taxes Owed]],0)</f>
        <v>2932</v>
      </c>
      <c r="X509" s="9">
        <f>Table1[[#This Row],[Extra Taxes From Amt]]+Table1[[#This Row],[Federal Taxes Owed (No AMT)]]</f>
        <v>44531.5</v>
      </c>
      <c r="Y509" s="9">
        <f>IF(Table1[[#This Row],[taxable wages]]&gt;obamacare_surcharge_amount,obamacare_surcharge_percent*(Table1[[#This Row],[taxable wages]]-obamacare_surcharge_amount),0)</f>
        <v>0</v>
      </c>
      <c r="Z509" s="9">
        <f>Table1[[#This Row],[Federal Taxes Owed (Includes AMT)]]+Table1[[#This Row],[Obamacare surcharge premium]]</f>
        <v>44531.5</v>
      </c>
      <c r="AA509" s="9">
        <f>Table1[[#This Row],[taxable wages]]-Table1[[#This Row],[Federal Taxes Owed2]]</f>
        <v>191468.5</v>
      </c>
      <c r="AB509" s="51">
        <f t="shared" si="46"/>
        <v>0.32500000000000001</v>
      </c>
      <c r="AC509" s="41"/>
      <c r="AD509" s="13"/>
      <c r="AE509" s="13"/>
    </row>
    <row r="510" spans="2:31" x14ac:dyDescent="0.3">
      <c r="B510" s="41">
        <f t="shared" si="47"/>
        <v>236500</v>
      </c>
      <c r="C510" s="1">
        <f>Table1[[#This Row],[taxable wages]]</f>
        <v>236500</v>
      </c>
      <c r="D510" s="1">
        <f>Table1[[#This Row],[taxable wages]]+interest+dividends+short_term_capital_gains+long_term_capital_gains</f>
        <v>236500</v>
      </c>
      <c r="E510" s="1">
        <f>MAX(Table1[[#This Row],[earned income for EITC]:[Agi For Eitc Calc]])</f>
        <v>236500</v>
      </c>
      <c r="F510" s="1">
        <f>Table1[[#This Row],[taxable wages]]+interest+dividends+short_term_capital_gains+long_term_capital_gains-(trad_ira_contributions+MIN(student_loan_interest_cap,student_loan_interest))</f>
        <v>236500</v>
      </c>
      <c r="G510" s="1">
        <f t="shared" si="43"/>
        <v>12600</v>
      </c>
      <c r="H510" s="1">
        <f t="shared" si="44"/>
        <v>28350</v>
      </c>
      <c r="I510" s="1">
        <f>MAX(0,Table1[[#This Row],[Agi]]-Table1[[#This Row],[Exemptions]]-Table1[[#This Row],[Effective Deductions]])</f>
        <v>195550</v>
      </c>
      <c r="J5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41739.5</v>
      </c>
      <c r="K510" s="1">
        <f t="shared" si="45"/>
        <v>5000</v>
      </c>
      <c r="L510" s="1">
        <f>IF(Table1[[#This Row],[Agi]]&gt;ctc_phase_out_begins,ctc_phase_out_rate*(Table1[[#This Row],[Agi]]-ctc_phase_out_begins),0)</f>
        <v>6325</v>
      </c>
      <c r="M510" s="1">
        <f>MAX(Table1[[#This Row],[Child Tax Credit]]-Table1[[#This Row],[Child Tax Credit Phase Out]],0)</f>
        <v>0</v>
      </c>
      <c r="N510" s="1">
        <f>MAX(Table1[[#This Row],[Regular Taxes Owed]]-Table1[[#This Row],[Effective Child Tax Credit]],0)</f>
        <v>41739.5</v>
      </c>
      <c r="O510" s="1">
        <f>MAX(MIN((Table1[[#This Row],[taxable wages]]-3000)*0.15,1000*num_kids_16_younger),0)</f>
        <v>5000</v>
      </c>
      <c r="P510" s="9">
        <f>IF(Table1[[#This Row],[Effective Child Tax Credit]]&gt;Table1[[#This Row],[Regular Taxes Owed]],Table1[[#This Row],[Additional Child Tax Credit ]]-Table1[[#This Row],[Regular Taxes Owed]],0)</f>
        <v>0</v>
      </c>
      <c r="Q5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0" s="1">
        <f>Table1[[#This Row],[Effective Additional Child Tax Credit]]+Table1[[#This Row],[Eitc]]</f>
        <v>0</v>
      </c>
      <c r="S510" s="9">
        <f>Table1[[#This Row],[Regular Taxes Owed - Effective Child Tax Credit]]-Table1[[#This Row],[Total Credits]]</f>
        <v>41739.5</v>
      </c>
      <c r="T510" s="9">
        <f>Table1[[#This Row],[taxable wages]]+interest+dividends+short_term_capital_gains+long_term_capital_gains-(charitable_donations+mortgage_interest)</f>
        <v>236500</v>
      </c>
      <c r="U510" s="9">
        <f>MAX(amt_exemption-amt_exemption_phase_out_rate*MAX(Table1[[#This Row],[taxable wages]]-amt_phase_out_begins,0),0)</f>
        <v>64600</v>
      </c>
      <c r="V5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44694</v>
      </c>
      <c r="W510" s="1">
        <f>IF(AND(Table1[[#This Row],[AMT Taxes]]&gt;Table1[[#This Row],[Regular Taxes Owed]],Table1[[#This Row],[AMT Taxes]]&gt;0),Table1[[#This Row],[AMT Taxes]]-Table1[[#This Row],[Regular Taxes Owed]],0)</f>
        <v>2954.5</v>
      </c>
      <c r="X510" s="9">
        <f>Table1[[#This Row],[Extra Taxes From Amt]]+Table1[[#This Row],[Federal Taxes Owed (No AMT)]]</f>
        <v>44694</v>
      </c>
      <c r="Y510" s="9">
        <f>IF(Table1[[#This Row],[taxable wages]]&gt;obamacare_surcharge_amount,obamacare_surcharge_percent*(Table1[[#This Row],[taxable wages]]-obamacare_surcharge_amount),0)</f>
        <v>0</v>
      </c>
      <c r="Z510" s="9">
        <f>Table1[[#This Row],[Federal Taxes Owed (Includes AMT)]]+Table1[[#This Row],[Obamacare surcharge premium]]</f>
        <v>44694</v>
      </c>
      <c r="AA510" s="9">
        <f>Table1[[#This Row],[taxable wages]]-Table1[[#This Row],[Federal Taxes Owed2]]</f>
        <v>191806</v>
      </c>
      <c r="AB510" s="51">
        <f t="shared" si="46"/>
        <v>0.32500000000000001</v>
      </c>
      <c r="AC510" s="41"/>
      <c r="AD510" s="13"/>
      <c r="AE510" s="13"/>
    </row>
    <row r="511" spans="2:31" x14ac:dyDescent="0.3">
      <c r="B511" s="41">
        <f t="shared" si="47"/>
        <v>237000</v>
      </c>
      <c r="C511" s="1">
        <f>Table1[[#This Row],[taxable wages]]</f>
        <v>237000</v>
      </c>
      <c r="D511" s="1">
        <f>Table1[[#This Row],[taxable wages]]+interest+dividends+short_term_capital_gains+long_term_capital_gains</f>
        <v>237000</v>
      </c>
      <c r="E511" s="1">
        <f>MAX(Table1[[#This Row],[earned income for EITC]:[Agi For Eitc Calc]])</f>
        <v>237000</v>
      </c>
      <c r="F511" s="1">
        <f>Table1[[#This Row],[taxable wages]]+interest+dividends+short_term_capital_gains+long_term_capital_gains-(trad_ira_contributions+MIN(student_loan_interest_cap,student_loan_interest))</f>
        <v>237000</v>
      </c>
      <c r="G511" s="1">
        <f t="shared" si="43"/>
        <v>12600</v>
      </c>
      <c r="H511" s="1">
        <f t="shared" si="44"/>
        <v>28350</v>
      </c>
      <c r="I511" s="1">
        <f>MAX(0,Table1[[#This Row],[Agi]]-Table1[[#This Row],[Exemptions]]-Table1[[#This Row],[Effective Deductions]])</f>
        <v>196050</v>
      </c>
      <c r="J5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41879.5</v>
      </c>
      <c r="K511" s="1">
        <f t="shared" si="45"/>
        <v>5000</v>
      </c>
      <c r="L511" s="1">
        <f>IF(Table1[[#This Row],[Agi]]&gt;ctc_phase_out_begins,ctc_phase_out_rate*(Table1[[#This Row],[Agi]]-ctc_phase_out_begins),0)</f>
        <v>6350</v>
      </c>
      <c r="M511" s="1">
        <f>MAX(Table1[[#This Row],[Child Tax Credit]]-Table1[[#This Row],[Child Tax Credit Phase Out]],0)</f>
        <v>0</v>
      </c>
      <c r="N511" s="1">
        <f>MAX(Table1[[#This Row],[Regular Taxes Owed]]-Table1[[#This Row],[Effective Child Tax Credit]],0)</f>
        <v>41879.5</v>
      </c>
      <c r="O511" s="1">
        <f>MAX(MIN((Table1[[#This Row],[taxable wages]]-3000)*0.15,1000*num_kids_16_younger),0)</f>
        <v>5000</v>
      </c>
      <c r="P511" s="9">
        <f>IF(Table1[[#This Row],[Effective Child Tax Credit]]&gt;Table1[[#This Row],[Regular Taxes Owed]],Table1[[#This Row],[Additional Child Tax Credit ]]-Table1[[#This Row],[Regular Taxes Owed]],0)</f>
        <v>0</v>
      </c>
      <c r="Q5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1" s="1">
        <f>Table1[[#This Row],[Effective Additional Child Tax Credit]]+Table1[[#This Row],[Eitc]]</f>
        <v>0</v>
      </c>
      <c r="S511" s="9">
        <f>Table1[[#This Row],[Regular Taxes Owed - Effective Child Tax Credit]]-Table1[[#This Row],[Total Credits]]</f>
        <v>41879.5</v>
      </c>
      <c r="T511" s="9">
        <f>Table1[[#This Row],[taxable wages]]+interest+dividends+short_term_capital_gains+long_term_capital_gains-(charitable_donations+mortgage_interest)</f>
        <v>237000</v>
      </c>
      <c r="U511" s="9">
        <f>MAX(amt_exemption-amt_exemption_phase_out_rate*MAX(Table1[[#This Row],[taxable wages]]-amt_phase_out_begins,0),0)</f>
        <v>64475</v>
      </c>
      <c r="V5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44856.5</v>
      </c>
      <c r="W511" s="1">
        <f>IF(AND(Table1[[#This Row],[AMT Taxes]]&gt;Table1[[#This Row],[Regular Taxes Owed]],Table1[[#This Row],[AMT Taxes]]&gt;0),Table1[[#This Row],[AMT Taxes]]-Table1[[#This Row],[Regular Taxes Owed]],0)</f>
        <v>2977</v>
      </c>
      <c r="X511" s="9">
        <f>Table1[[#This Row],[Extra Taxes From Amt]]+Table1[[#This Row],[Federal Taxes Owed (No AMT)]]</f>
        <v>44856.5</v>
      </c>
      <c r="Y511" s="9">
        <f>IF(Table1[[#This Row],[taxable wages]]&gt;obamacare_surcharge_amount,obamacare_surcharge_percent*(Table1[[#This Row],[taxable wages]]-obamacare_surcharge_amount),0)</f>
        <v>0</v>
      </c>
      <c r="Z511" s="9">
        <f>Table1[[#This Row],[Federal Taxes Owed (Includes AMT)]]+Table1[[#This Row],[Obamacare surcharge premium]]</f>
        <v>44856.5</v>
      </c>
      <c r="AA511" s="9">
        <f>Table1[[#This Row],[taxable wages]]-Table1[[#This Row],[Federal Taxes Owed2]]</f>
        <v>192143.5</v>
      </c>
      <c r="AB511" s="51">
        <f t="shared" si="46"/>
        <v>0.32500000000000001</v>
      </c>
      <c r="AC511" s="41"/>
      <c r="AD511" s="13"/>
      <c r="AE511" s="13"/>
    </row>
    <row r="512" spans="2:31" x14ac:dyDescent="0.3">
      <c r="B512" s="41">
        <f t="shared" si="47"/>
        <v>237500</v>
      </c>
      <c r="C512" s="1">
        <f>Table1[[#This Row],[taxable wages]]</f>
        <v>237500</v>
      </c>
      <c r="D512" s="1">
        <f>Table1[[#This Row],[taxable wages]]+interest+dividends+short_term_capital_gains+long_term_capital_gains</f>
        <v>237500</v>
      </c>
      <c r="E512" s="1">
        <f>MAX(Table1[[#This Row],[earned income for EITC]:[Agi For Eitc Calc]])</f>
        <v>237500</v>
      </c>
      <c r="F512" s="1">
        <f>Table1[[#This Row],[taxable wages]]+interest+dividends+short_term_capital_gains+long_term_capital_gains-(trad_ira_contributions+MIN(student_loan_interest_cap,student_loan_interest))</f>
        <v>237500</v>
      </c>
      <c r="G512" s="1">
        <f t="shared" si="43"/>
        <v>12600</v>
      </c>
      <c r="H512" s="1">
        <f t="shared" si="44"/>
        <v>28350</v>
      </c>
      <c r="I512" s="1">
        <f>MAX(0,Table1[[#This Row],[Agi]]-Table1[[#This Row],[Exemptions]]-Table1[[#This Row],[Effective Deductions]])</f>
        <v>196550</v>
      </c>
      <c r="J5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42019.5</v>
      </c>
      <c r="K512" s="1">
        <f t="shared" si="45"/>
        <v>5000</v>
      </c>
      <c r="L512" s="1">
        <f>IF(Table1[[#This Row],[Agi]]&gt;ctc_phase_out_begins,ctc_phase_out_rate*(Table1[[#This Row],[Agi]]-ctc_phase_out_begins),0)</f>
        <v>6375</v>
      </c>
      <c r="M512" s="1">
        <f>MAX(Table1[[#This Row],[Child Tax Credit]]-Table1[[#This Row],[Child Tax Credit Phase Out]],0)</f>
        <v>0</v>
      </c>
      <c r="N512" s="1">
        <f>MAX(Table1[[#This Row],[Regular Taxes Owed]]-Table1[[#This Row],[Effective Child Tax Credit]],0)</f>
        <v>42019.5</v>
      </c>
      <c r="O512" s="1">
        <f>MAX(MIN((Table1[[#This Row],[taxable wages]]-3000)*0.15,1000*num_kids_16_younger),0)</f>
        <v>5000</v>
      </c>
      <c r="P512" s="9">
        <f>IF(Table1[[#This Row],[Effective Child Tax Credit]]&gt;Table1[[#This Row],[Regular Taxes Owed]],Table1[[#This Row],[Additional Child Tax Credit ]]-Table1[[#This Row],[Regular Taxes Owed]],0)</f>
        <v>0</v>
      </c>
      <c r="Q5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2" s="1">
        <f>Table1[[#This Row],[Effective Additional Child Tax Credit]]+Table1[[#This Row],[Eitc]]</f>
        <v>0</v>
      </c>
      <c r="S512" s="9">
        <f>Table1[[#This Row],[Regular Taxes Owed - Effective Child Tax Credit]]-Table1[[#This Row],[Total Credits]]</f>
        <v>42019.5</v>
      </c>
      <c r="T512" s="9">
        <f>Table1[[#This Row],[taxable wages]]+interest+dividends+short_term_capital_gains+long_term_capital_gains-(charitable_donations+mortgage_interest)</f>
        <v>237500</v>
      </c>
      <c r="U512" s="9">
        <f>MAX(amt_exemption-amt_exemption_phase_out_rate*MAX(Table1[[#This Row],[taxable wages]]-amt_phase_out_begins,0),0)</f>
        <v>64350</v>
      </c>
      <c r="V5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45019</v>
      </c>
      <c r="W512" s="1">
        <f>IF(AND(Table1[[#This Row],[AMT Taxes]]&gt;Table1[[#This Row],[Regular Taxes Owed]],Table1[[#This Row],[AMT Taxes]]&gt;0),Table1[[#This Row],[AMT Taxes]]-Table1[[#This Row],[Regular Taxes Owed]],0)</f>
        <v>2999.5</v>
      </c>
      <c r="X512" s="9">
        <f>Table1[[#This Row],[Extra Taxes From Amt]]+Table1[[#This Row],[Federal Taxes Owed (No AMT)]]</f>
        <v>45019</v>
      </c>
      <c r="Y512" s="9">
        <f>IF(Table1[[#This Row],[taxable wages]]&gt;obamacare_surcharge_amount,obamacare_surcharge_percent*(Table1[[#This Row],[taxable wages]]-obamacare_surcharge_amount),0)</f>
        <v>0</v>
      </c>
      <c r="Z512" s="9">
        <f>Table1[[#This Row],[Federal Taxes Owed (Includes AMT)]]+Table1[[#This Row],[Obamacare surcharge premium]]</f>
        <v>45019</v>
      </c>
      <c r="AA512" s="9">
        <f>Table1[[#This Row],[taxable wages]]-Table1[[#This Row],[Federal Taxes Owed2]]</f>
        <v>192481</v>
      </c>
      <c r="AB512" s="51">
        <f t="shared" si="46"/>
        <v>0.32500000000000001</v>
      </c>
      <c r="AC512" s="41"/>
      <c r="AD512" s="13"/>
      <c r="AE512" s="13"/>
    </row>
    <row r="513" spans="2:31" x14ac:dyDescent="0.3">
      <c r="B513" s="41">
        <f t="shared" si="47"/>
        <v>238000</v>
      </c>
      <c r="C513" s="1">
        <f>Table1[[#This Row],[taxable wages]]</f>
        <v>238000</v>
      </c>
      <c r="D513" s="1">
        <f>Table1[[#This Row],[taxable wages]]+interest+dividends+short_term_capital_gains+long_term_capital_gains</f>
        <v>238000</v>
      </c>
      <c r="E513" s="1">
        <f>MAX(Table1[[#This Row],[earned income for EITC]:[Agi For Eitc Calc]])</f>
        <v>238000</v>
      </c>
      <c r="F513" s="1">
        <f>Table1[[#This Row],[taxable wages]]+interest+dividends+short_term_capital_gains+long_term_capital_gains-(trad_ira_contributions+MIN(student_loan_interest_cap,student_loan_interest))</f>
        <v>238000</v>
      </c>
      <c r="G513" s="1">
        <f t="shared" si="43"/>
        <v>12600</v>
      </c>
      <c r="H513" s="1">
        <f t="shared" si="44"/>
        <v>28350</v>
      </c>
      <c r="I513" s="1">
        <f>MAX(0,Table1[[#This Row],[Agi]]-Table1[[#This Row],[Exemptions]]-Table1[[#This Row],[Effective Deductions]])</f>
        <v>197050</v>
      </c>
      <c r="J5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42159.5</v>
      </c>
      <c r="K513" s="1">
        <f t="shared" si="45"/>
        <v>5000</v>
      </c>
      <c r="L513" s="1">
        <f>IF(Table1[[#This Row],[Agi]]&gt;ctc_phase_out_begins,ctc_phase_out_rate*(Table1[[#This Row],[Agi]]-ctc_phase_out_begins),0)</f>
        <v>6400</v>
      </c>
      <c r="M513" s="1">
        <f>MAX(Table1[[#This Row],[Child Tax Credit]]-Table1[[#This Row],[Child Tax Credit Phase Out]],0)</f>
        <v>0</v>
      </c>
      <c r="N513" s="1">
        <f>MAX(Table1[[#This Row],[Regular Taxes Owed]]-Table1[[#This Row],[Effective Child Tax Credit]],0)</f>
        <v>42159.5</v>
      </c>
      <c r="O513" s="1">
        <f>MAX(MIN((Table1[[#This Row],[taxable wages]]-3000)*0.15,1000*num_kids_16_younger),0)</f>
        <v>5000</v>
      </c>
      <c r="P513" s="9">
        <f>IF(Table1[[#This Row],[Effective Child Tax Credit]]&gt;Table1[[#This Row],[Regular Taxes Owed]],Table1[[#This Row],[Additional Child Tax Credit ]]-Table1[[#This Row],[Regular Taxes Owed]],0)</f>
        <v>0</v>
      </c>
      <c r="Q5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3" s="1">
        <f>Table1[[#This Row],[Effective Additional Child Tax Credit]]+Table1[[#This Row],[Eitc]]</f>
        <v>0</v>
      </c>
      <c r="S513" s="9">
        <f>Table1[[#This Row],[Regular Taxes Owed - Effective Child Tax Credit]]-Table1[[#This Row],[Total Credits]]</f>
        <v>42159.5</v>
      </c>
      <c r="T513" s="9">
        <f>Table1[[#This Row],[taxable wages]]+interest+dividends+short_term_capital_gains+long_term_capital_gains-(charitable_donations+mortgage_interest)</f>
        <v>238000</v>
      </c>
      <c r="U513" s="9">
        <f>MAX(amt_exemption-amt_exemption_phase_out_rate*MAX(Table1[[#This Row],[taxable wages]]-amt_phase_out_begins,0),0)</f>
        <v>64225</v>
      </c>
      <c r="V5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45181.5</v>
      </c>
      <c r="W513" s="1">
        <f>IF(AND(Table1[[#This Row],[AMT Taxes]]&gt;Table1[[#This Row],[Regular Taxes Owed]],Table1[[#This Row],[AMT Taxes]]&gt;0),Table1[[#This Row],[AMT Taxes]]-Table1[[#This Row],[Regular Taxes Owed]],0)</f>
        <v>3022</v>
      </c>
      <c r="X513" s="9">
        <f>Table1[[#This Row],[Extra Taxes From Amt]]+Table1[[#This Row],[Federal Taxes Owed (No AMT)]]</f>
        <v>45181.5</v>
      </c>
      <c r="Y513" s="9">
        <f>IF(Table1[[#This Row],[taxable wages]]&gt;obamacare_surcharge_amount,obamacare_surcharge_percent*(Table1[[#This Row],[taxable wages]]-obamacare_surcharge_amount),0)</f>
        <v>0</v>
      </c>
      <c r="Z513" s="9">
        <f>Table1[[#This Row],[Federal Taxes Owed (Includes AMT)]]+Table1[[#This Row],[Obamacare surcharge premium]]</f>
        <v>45181.5</v>
      </c>
      <c r="AA513" s="9">
        <f>Table1[[#This Row],[taxable wages]]-Table1[[#This Row],[Federal Taxes Owed2]]</f>
        <v>192818.5</v>
      </c>
      <c r="AB513" s="51">
        <f t="shared" si="46"/>
        <v>0.32500000000000001</v>
      </c>
      <c r="AC513" s="41"/>
      <c r="AD513" s="13"/>
      <c r="AE513" s="13"/>
    </row>
    <row r="514" spans="2:31" x14ac:dyDescent="0.3">
      <c r="B514" s="41">
        <f t="shared" si="47"/>
        <v>238500</v>
      </c>
      <c r="C514" s="1">
        <f>Table1[[#This Row],[taxable wages]]</f>
        <v>238500</v>
      </c>
      <c r="D514" s="1">
        <f>Table1[[#This Row],[taxable wages]]+interest+dividends+short_term_capital_gains+long_term_capital_gains</f>
        <v>238500</v>
      </c>
      <c r="E514" s="1">
        <f>MAX(Table1[[#This Row],[earned income for EITC]:[Agi For Eitc Calc]])</f>
        <v>238500</v>
      </c>
      <c r="F514" s="1">
        <f>Table1[[#This Row],[taxable wages]]+interest+dividends+short_term_capital_gains+long_term_capital_gains-(trad_ira_contributions+MIN(student_loan_interest_cap,student_loan_interest))</f>
        <v>238500</v>
      </c>
      <c r="G514" s="1">
        <f t="shared" si="43"/>
        <v>12600</v>
      </c>
      <c r="H514" s="1">
        <f t="shared" si="44"/>
        <v>28350</v>
      </c>
      <c r="I514" s="1">
        <f>MAX(0,Table1[[#This Row],[Agi]]-Table1[[#This Row],[Exemptions]]-Table1[[#This Row],[Effective Deductions]])</f>
        <v>197550</v>
      </c>
      <c r="J5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42299.5</v>
      </c>
      <c r="K514" s="1">
        <f t="shared" si="45"/>
        <v>5000</v>
      </c>
      <c r="L514" s="1">
        <f>IF(Table1[[#This Row],[Agi]]&gt;ctc_phase_out_begins,ctc_phase_out_rate*(Table1[[#This Row],[Agi]]-ctc_phase_out_begins),0)</f>
        <v>6425</v>
      </c>
      <c r="M514" s="1">
        <f>MAX(Table1[[#This Row],[Child Tax Credit]]-Table1[[#This Row],[Child Tax Credit Phase Out]],0)</f>
        <v>0</v>
      </c>
      <c r="N514" s="1">
        <f>MAX(Table1[[#This Row],[Regular Taxes Owed]]-Table1[[#This Row],[Effective Child Tax Credit]],0)</f>
        <v>42299.5</v>
      </c>
      <c r="O514" s="1">
        <f>MAX(MIN((Table1[[#This Row],[taxable wages]]-3000)*0.15,1000*num_kids_16_younger),0)</f>
        <v>5000</v>
      </c>
      <c r="P514" s="9">
        <f>IF(Table1[[#This Row],[Effective Child Tax Credit]]&gt;Table1[[#This Row],[Regular Taxes Owed]],Table1[[#This Row],[Additional Child Tax Credit ]]-Table1[[#This Row],[Regular Taxes Owed]],0)</f>
        <v>0</v>
      </c>
      <c r="Q5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4" s="1">
        <f>Table1[[#This Row],[Effective Additional Child Tax Credit]]+Table1[[#This Row],[Eitc]]</f>
        <v>0</v>
      </c>
      <c r="S514" s="9">
        <f>Table1[[#This Row],[Regular Taxes Owed - Effective Child Tax Credit]]-Table1[[#This Row],[Total Credits]]</f>
        <v>42299.5</v>
      </c>
      <c r="T514" s="9">
        <f>Table1[[#This Row],[taxable wages]]+interest+dividends+short_term_capital_gains+long_term_capital_gains-(charitable_donations+mortgage_interest)</f>
        <v>238500</v>
      </c>
      <c r="U514" s="9">
        <f>MAX(amt_exemption-amt_exemption_phase_out_rate*MAX(Table1[[#This Row],[taxable wages]]-amt_phase_out_begins,0),0)</f>
        <v>64100</v>
      </c>
      <c r="V5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45344</v>
      </c>
      <c r="W514" s="1">
        <f>IF(AND(Table1[[#This Row],[AMT Taxes]]&gt;Table1[[#This Row],[Regular Taxes Owed]],Table1[[#This Row],[AMT Taxes]]&gt;0),Table1[[#This Row],[AMT Taxes]]-Table1[[#This Row],[Regular Taxes Owed]],0)</f>
        <v>3044.5</v>
      </c>
      <c r="X514" s="9">
        <f>Table1[[#This Row],[Extra Taxes From Amt]]+Table1[[#This Row],[Federal Taxes Owed (No AMT)]]</f>
        <v>45344</v>
      </c>
      <c r="Y514" s="9">
        <f>IF(Table1[[#This Row],[taxable wages]]&gt;obamacare_surcharge_amount,obamacare_surcharge_percent*(Table1[[#This Row],[taxable wages]]-obamacare_surcharge_amount),0)</f>
        <v>0</v>
      </c>
      <c r="Z514" s="9">
        <f>Table1[[#This Row],[Federal Taxes Owed (Includes AMT)]]+Table1[[#This Row],[Obamacare surcharge premium]]</f>
        <v>45344</v>
      </c>
      <c r="AA514" s="9">
        <f>Table1[[#This Row],[taxable wages]]-Table1[[#This Row],[Federal Taxes Owed2]]</f>
        <v>193156</v>
      </c>
      <c r="AB514" s="51">
        <f t="shared" si="46"/>
        <v>0.32500000000000001</v>
      </c>
      <c r="AC514" s="41"/>
      <c r="AD514" s="13"/>
      <c r="AE514" s="13"/>
    </row>
    <row r="515" spans="2:31" x14ac:dyDescent="0.3">
      <c r="B515" s="41">
        <f t="shared" si="47"/>
        <v>239000</v>
      </c>
      <c r="C515" s="1">
        <f>Table1[[#This Row],[taxable wages]]</f>
        <v>239000</v>
      </c>
      <c r="D515" s="1">
        <f>Table1[[#This Row],[taxable wages]]+interest+dividends+short_term_capital_gains+long_term_capital_gains</f>
        <v>239000</v>
      </c>
      <c r="E515" s="1">
        <f>MAX(Table1[[#This Row],[earned income for EITC]:[Agi For Eitc Calc]])</f>
        <v>239000</v>
      </c>
      <c r="F515" s="1">
        <f>Table1[[#This Row],[taxable wages]]+interest+dividends+short_term_capital_gains+long_term_capital_gains-(trad_ira_contributions+MIN(student_loan_interest_cap,student_loan_interest))</f>
        <v>239000</v>
      </c>
      <c r="G515" s="1">
        <f t="shared" si="43"/>
        <v>12600</v>
      </c>
      <c r="H515" s="1">
        <f t="shared" si="44"/>
        <v>28350</v>
      </c>
      <c r="I515" s="1">
        <f>MAX(0,Table1[[#This Row],[Agi]]-Table1[[#This Row],[Exemptions]]-Table1[[#This Row],[Effective Deductions]])</f>
        <v>198050</v>
      </c>
      <c r="J5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42439.5</v>
      </c>
      <c r="K515" s="1">
        <f t="shared" si="45"/>
        <v>5000</v>
      </c>
      <c r="L515" s="1">
        <f>IF(Table1[[#This Row],[Agi]]&gt;ctc_phase_out_begins,ctc_phase_out_rate*(Table1[[#This Row],[Agi]]-ctc_phase_out_begins),0)</f>
        <v>6450</v>
      </c>
      <c r="M515" s="1">
        <f>MAX(Table1[[#This Row],[Child Tax Credit]]-Table1[[#This Row],[Child Tax Credit Phase Out]],0)</f>
        <v>0</v>
      </c>
      <c r="N515" s="1">
        <f>MAX(Table1[[#This Row],[Regular Taxes Owed]]-Table1[[#This Row],[Effective Child Tax Credit]],0)</f>
        <v>42439.5</v>
      </c>
      <c r="O515" s="1">
        <f>MAX(MIN((Table1[[#This Row],[taxable wages]]-3000)*0.15,1000*num_kids_16_younger),0)</f>
        <v>5000</v>
      </c>
      <c r="P515" s="9">
        <f>IF(Table1[[#This Row],[Effective Child Tax Credit]]&gt;Table1[[#This Row],[Regular Taxes Owed]],Table1[[#This Row],[Additional Child Tax Credit ]]-Table1[[#This Row],[Regular Taxes Owed]],0)</f>
        <v>0</v>
      </c>
      <c r="Q5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5" s="1">
        <f>Table1[[#This Row],[Effective Additional Child Tax Credit]]+Table1[[#This Row],[Eitc]]</f>
        <v>0</v>
      </c>
      <c r="S515" s="9">
        <f>Table1[[#This Row],[Regular Taxes Owed - Effective Child Tax Credit]]-Table1[[#This Row],[Total Credits]]</f>
        <v>42439.5</v>
      </c>
      <c r="T515" s="9">
        <f>Table1[[#This Row],[taxable wages]]+interest+dividends+short_term_capital_gains+long_term_capital_gains-(charitable_donations+mortgage_interest)</f>
        <v>239000</v>
      </c>
      <c r="U515" s="9">
        <f>MAX(amt_exemption-amt_exemption_phase_out_rate*MAX(Table1[[#This Row],[taxable wages]]-amt_phase_out_begins,0),0)</f>
        <v>63975</v>
      </c>
      <c r="V5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45506.5</v>
      </c>
      <c r="W515" s="1">
        <f>IF(AND(Table1[[#This Row],[AMT Taxes]]&gt;Table1[[#This Row],[Regular Taxes Owed]],Table1[[#This Row],[AMT Taxes]]&gt;0),Table1[[#This Row],[AMT Taxes]]-Table1[[#This Row],[Regular Taxes Owed]],0)</f>
        <v>3067</v>
      </c>
      <c r="X515" s="9">
        <f>Table1[[#This Row],[Extra Taxes From Amt]]+Table1[[#This Row],[Federal Taxes Owed (No AMT)]]</f>
        <v>45506.5</v>
      </c>
      <c r="Y515" s="9">
        <f>IF(Table1[[#This Row],[taxable wages]]&gt;obamacare_surcharge_amount,obamacare_surcharge_percent*(Table1[[#This Row],[taxable wages]]-obamacare_surcharge_amount),0)</f>
        <v>0</v>
      </c>
      <c r="Z515" s="9">
        <f>Table1[[#This Row],[Federal Taxes Owed (Includes AMT)]]+Table1[[#This Row],[Obamacare surcharge premium]]</f>
        <v>45506.5</v>
      </c>
      <c r="AA515" s="9">
        <f>Table1[[#This Row],[taxable wages]]-Table1[[#This Row],[Federal Taxes Owed2]]</f>
        <v>193493.5</v>
      </c>
      <c r="AB515" s="51">
        <f t="shared" si="46"/>
        <v>0.32500000000000001</v>
      </c>
      <c r="AC515" s="41"/>
      <c r="AD515" s="13"/>
      <c r="AE515" s="13"/>
    </row>
    <row r="516" spans="2:31" x14ac:dyDescent="0.3">
      <c r="B516" s="41">
        <f t="shared" si="47"/>
        <v>239500</v>
      </c>
      <c r="C516" s="1">
        <f>Table1[[#This Row],[taxable wages]]</f>
        <v>239500</v>
      </c>
      <c r="D516" s="1">
        <f>Table1[[#This Row],[taxable wages]]+interest+dividends+short_term_capital_gains+long_term_capital_gains</f>
        <v>239500</v>
      </c>
      <c r="E516" s="1">
        <f>MAX(Table1[[#This Row],[earned income for EITC]:[Agi For Eitc Calc]])</f>
        <v>239500</v>
      </c>
      <c r="F516" s="1">
        <f>Table1[[#This Row],[taxable wages]]+interest+dividends+short_term_capital_gains+long_term_capital_gains-(trad_ira_contributions+MIN(student_loan_interest_cap,student_loan_interest))</f>
        <v>239500</v>
      </c>
      <c r="G516" s="1">
        <f t="shared" si="43"/>
        <v>12600</v>
      </c>
      <c r="H516" s="1">
        <f t="shared" si="44"/>
        <v>28350</v>
      </c>
      <c r="I516" s="1">
        <f>MAX(0,Table1[[#This Row],[Agi]]-Table1[[#This Row],[Exemptions]]-Table1[[#This Row],[Effective Deductions]])</f>
        <v>198550</v>
      </c>
      <c r="J5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42579.5</v>
      </c>
      <c r="K516" s="1">
        <f t="shared" si="45"/>
        <v>5000</v>
      </c>
      <c r="L516" s="1">
        <f>IF(Table1[[#This Row],[Agi]]&gt;ctc_phase_out_begins,ctc_phase_out_rate*(Table1[[#This Row],[Agi]]-ctc_phase_out_begins),0)</f>
        <v>6475</v>
      </c>
      <c r="M516" s="1">
        <f>MAX(Table1[[#This Row],[Child Tax Credit]]-Table1[[#This Row],[Child Tax Credit Phase Out]],0)</f>
        <v>0</v>
      </c>
      <c r="N516" s="1">
        <f>MAX(Table1[[#This Row],[Regular Taxes Owed]]-Table1[[#This Row],[Effective Child Tax Credit]],0)</f>
        <v>42579.5</v>
      </c>
      <c r="O516" s="1">
        <f>MAX(MIN((Table1[[#This Row],[taxable wages]]-3000)*0.15,1000*num_kids_16_younger),0)</f>
        <v>5000</v>
      </c>
      <c r="P516" s="9">
        <f>IF(Table1[[#This Row],[Effective Child Tax Credit]]&gt;Table1[[#This Row],[Regular Taxes Owed]],Table1[[#This Row],[Additional Child Tax Credit ]]-Table1[[#This Row],[Regular Taxes Owed]],0)</f>
        <v>0</v>
      </c>
      <c r="Q5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6" s="1">
        <f>Table1[[#This Row],[Effective Additional Child Tax Credit]]+Table1[[#This Row],[Eitc]]</f>
        <v>0</v>
      </c>
      <c r="S516" s="9">
        <f>Table1[[#This Row],[Regular Taxes Owed - Effective Child Tax Credit]]-Table1[[#This Row],[Total Credits]]</f>
        <v>42579.5</v>
      </c>
      <c r="T516" s="9">
        <f>Table1[[#This Row],[taxable wages]]+interest+dividends+short_term_capital_gains+long_term_capital_gains-(charitable_donations+mortgage_interest)</f>
        <v>239500</v>
      </c>
      <c r="U516" s="9">
        <f>MAX(amt_exemption-amt_exemption_phase_out_rate*MAX(Table1[[#This Row],[taxable wages]]-amt_phase_out_begins,0),0)</f>
        <v>63850</v>
      </c>
      <c r="V5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45669</v>
      </c>
      <c r="W516" s="1">
        <f>IF(AND(Table1[[#This Row],[AMT Taxes]]&gt;Table1[[#This Row],[Regular Taxes Owed]],Table1[[#This Row],[AMT Taxes]]&gt;0),Table1[[#This Row],[AMT Taxes]]-Table1[[#This Row],[Regular Taxes Owed]],0)</f>
        <v>3089.5</v>
      </c>
      <c r="X516" s="9">
        <f>Table1[[#This Row],[Extra Taxes From Amt]]+Table1[[#This Row],[Federal Taxes Owed (No AMT)]]</f>
        <v>45669</v>
      </c>
      <c r="Y516" s="9">
        <f>IF(Table1[[#This Row],[taxable wages]]&gt;obamacare_surcharge_amount,obamacare_surcharge_percent*(Table1[[#This Row],[taxable wages]]-obamacare_surcharge_amount),0)</f>
        <v>0</v>
      </c>
      <c r="Z516" s="9">
        <f>Table1[[#This Row],[Federal Taxes Owed (Includes AMT)]]+Table1[[#This Row],[Obamacare surcharge premium]]</f>
        <v>45669</v>
      </c>
      <c r="AA516" s="9">
        <f>Table1[[#This Row],[taxable wages]]-Table1[[#This Row],[Federal Taxes Owed2]]</f>
        <v>193831</v>
      </c>
      <c r="AB516" s="51">
        <f t="shared" si="46"/>
        <v>0.32500000000000001</v>
      </c>
      <c r="AC516" s="41"/>
      <c r="AD516" s="13"/>
      <c r="AE516" s="13"/>
    </row>
    <row r="517" spans="2:31" x14ac:dyDescent="0.3">
      <c r="B517" s="41">
        <f t="shared" si="47"/>
        <v>240000</v>
      </c>
      <c r="C517" s="1">
        <f>Table1[[#This Row],[taxable wages]]</f>
        <v>240000</v>
      </c>
      <c r="D517" s="1">
        <f>Table1[[#This Row],[taxable wages]]+interest+dividends+short_term_capital_gains+long_term_capital_gains</f>
        <v>240000</v>
      </c>
      <c r="E517" s="1">
        <f>MAX(Table1[[#This Row],[earned income for EITC]:[Agi For Eitc Calc]])</f>
        <v>240000</v>
      </c>
      <c r="F517" s="1">
        <f>Table1[[#This Row],[taxable wages]]+interest+dividends+short_term_capital_gains+long_term_capital_gains-(trad_ira_contributions+MIN(student_loan_interest_cap,student_loan_interest))</f>
        <v>240000</v>
      </c>
      <c r="G517" s="1">
        <f t="shared" si="43"/>
        <v>12600</v>
      </c>
      <c r="H517" s="1">
        <f t="shared" si="44"/>
        <v>28350</v>
      </c>
      <c r="I517" s="1">
        <f>MAX(0,Table1[[#This Row],[Agi]]-Table1[[#This Row],[Exemptions]]-Table1[[#This Row],[Effective Deductions]])</f>
        <v>199050</v>
      </c>
      <c r="J5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42719.5</v>
      </c>
      <c r="K517" s="1">
        <f t="shared" si="45"/>
        <v>5000</v>
      </c>
      <c r="L517" s="1">
        <f>IF(Table1[[#This Row],[Agi]]&gt;ctc_phase_out_begins,ctc_phase_out_rate*(Table1[[#This Row],[Agi]]-ctc_phase_out_begins),0)</f>
        <v>6500</v>
      </c>
      <c r="M517" s="1">
        <f>MAX(Table1[[#This Row],[Child Tax Credit]]-Table1[[#This Row],[Child Tax Credit Phase Out]],0)</f>
        <v>0</v>
      </c>
      <c r="N517" s="1">
        <f>MAX(Table1[[#This Row],[Regular Taxes Owed]]-Table1[[#This Row],[Effective Child Tax Credit]],0)</f>
        <v>42719.5</v>
      </c>
      <c r="O517" s="1">
        <f>MAX(MIN((Table1[[#This Row],[taxable wages]]-3000)*0.15,1000*num_kids_16_younger),0)</f>
        <v>5000</v>
      </c>
      <c r="P517" s="9">
        <f>IF(Table1[[#This Row],[Effective Child Tax Credit]]&gt;Table1[[#This Row],[Regular Taxes Owed]],Table1[[#This Row],[Additional Child Tax Credit ]]-Table1[[#This Row],[Regular Taxes Owed]],0)</f>
        <v>0</v>
      </c>
      <c r="Q5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7" s="1">
        <f>Table1[[#This Row],[Effective Additional Child Tax Credit]]+Table1[[#This Row],[Eitc]]</f>
        <v>0</v>
      </c>
      <c r="S517" s="9">
        <f>Table1[[#This Row],[Regular Taxes Owed - Effective Child Tax Credit]]-Table1[[#This Row],[Total Credits]]</f>
        <v>42719.5</v>
      </c>
      <c r="T517" s="9">
        <f>Table1[[#This Row],[taxable wages]]+interest+dividends+short_term_capital_gains+long_term_capital_gains-(charitable_donations+mortgage_interest)</f>
        <v>240000</v>
      </c>
      <c r="U517" s="9">
        <f>MAX(amt_exemption-amt_exemption_phase_out_rate*MAX(Table1[[#This Row],[taxable wages]]-amt_phase_out_begins,0),0)</f>
        <v>63725</v>
      </c>
      <c r="V5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45831.5</v>
      </c>
      <c r="W517" s="1">
        <f>IF(AND(Table1[[#This Row],[AMT Taxes]]&gt;Table1[[#This Row],[Regular Taxes Owed]],Table1[[#This Row],[AMT Taxes]]&gt;0),Table1[[#This Row],[AMT Taxes]]-Table1[[#This Row],[Regular Taxes Owed]],0)</f>
        <v>3112</v>
      </c>
      <c r="X517" s="9">
        <f>Table1[[#This Row],[Extra Taxes From Amt]]+Table1[[#This Row],[Federal Taxes Owed (No AMT)]]</f>
        <v>45831.5</v>
      </c>
      <c r="Y517" s="9">
        <f>IF(Table1[[#This Row],[taxable wages]]&gt;obamacare_surcharge_amount,obamacare_surcharge_percent*(Table1[[#This Row],[taxable wages]]-obamacare_surcharge_amount),0)</f>
        <v>0</v>
      </c>
      <c r="Z517" s="9">
        <f>Table1[[#This Row],[Federal Taxes Owed (Includes AMT)]]+Table1[[#This Row],[Obamacare surcharge premium]]</f>
        <v>45831.5</v>
      </c>
      <c r="AA517" s="9">
        <f>Table1[[#This Row],[taxable wages]]-Table1[[#This Row],[Federal Taxes Owed2]]</f>
        <v>194168.5</v>
      </c>
      <c r="AB517" s="51">
        <f t="shared" si="46"/>
        <v>0.32500000000000001</v>
      </c>
      <c r="AC517" s="41"/>
      <c r="AD517" s="13"/>
      <c r="AE517" s="13"/>
    </row>
    <row r="518" spans="2:31" x14ac:dyDescent="0.3">
      <c r="B518" s="41">
        <f t="shared" si="47"/>
        <v>240500</v>
      </c>
      <c r="C518" s="1">
        <f>Table1[[#This Row],[taxable wages]]</f>
        <v>240500</v>
      </c>
      <c r="D518" s="1">
        <f>Table1[[#This Row],[taxable wages]]+interest+dividends+short_term_capital_gains+long_term_capital_gains</f>
        <v>240500</v>
      </c>
      <c r="E518" s="1">
        <f>MAX(Table1[[#This Row],[earned income for EITC]:[Agi For Eitc Calc]])</f>
        <v>240500</v>
      </c>
      <c r="F518" s="1">
        <f>Table1[[#This Row],[taxable wages]]+interest+dividends+short_term_capital_gains+long_term_capital_gains-(trad_ira_contributions+MIN(student_loan_interest_cap,student_loan_interest))</f>
        <v>240500</v>
      </c>
      <c r="G518" s="1">
        <f t="shared" si="43"/>
        <v>12600</v>
      </c>
      <c r="H518" s="1">
        <f t="shared" si="44"/>
        <v>28350</v>
      </c>
      <c r="I518" s="1">
        <f>MAX(0,Table1[[#This Row],[Agi]]-Table1[[#This Row],[Exemptions]]-Table1[[#This Row],[Effective Deductions]])</f>
        <v>199550</v>
      </c>
      <c r="J5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42859.5</v>
      </c>
      <c r="K518" s="1">
        <f t="shared" si="45"/>
        <v>5000</v>
      </c>
      <c r="L518" s="1">
        <f>IF(Table1[[#This Row],[Agi]]&gt;ctc_phase_out_begins,ctc_phase_out_rate*(Table1[[#This Row],[Agi]]-ctc_phase_out_begins),0)</f>
        <v>6525</v>
      </c>
      <c r="M518" s="1">
        <f>MAX(Table1[[#This Row],[Child Tax Credit]]-Table1[[#This Row],[Child Tax Credit Phase Out]],0)</f>
        <v>0</v>
      </c>
      <c r="N518" s="1">
        <f>MAX(Table1[[#This Row],[Regular Taxes Owed]]-Table1[[#This Row],[Effective Child Tax Credit]],0)</f>
        <v>42859.5</v>
      </c>
      <c r="O518" s="1">
        <f>MAX(MIN((Table1[[#This Row],[taxable wages]]-3000)*0.15,1000*num_kids_16_younger),0)</f>
        <v>5000</v>
      </c>
      <c r="P518" s="9">
        <f>IF(Table1[[#This Row],[Effective Child Tax Credit]]&gt;Table1[[#This Row],[Regular Taxes Owed]],Table1[[#This Row],[Additional Child Tax Credit ]]-Table1[[#This Row],[Regular Taxes Owed]],0)</f>
        <v>0</v>
      </c>
      <c r="Q5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8" s="1">
        <f>Table1[[#This Row],[Effective Additional Child Tax Credit]]+Table1[[#This Row],[Eitc]]</f>
        <v>0</v>
      </c>
      <c r="S518" s="9">
        <f>Table1[[#This Row],[Regular Taxes Owed - Effective Child Tax Credit]]-Table1[[#This Row],[Total Credits]]</f>
        <v>42859.5</v>
      </c>
      <c r="T518" s="9">
        <f>Table1[[#This Row],[taxable wages]]+interest+dividends+short_term_capital_gains+long_term_capital_gains-(charitable_donations+mortgage_interest)</f>
        <v>240500</v>
      </c>
      <c r="U518" s="9">
        <f>MAX(amt_exemption-amt_exemption_phase_out_rate*MAX(Table1[[#This Row],[taxable wages]]-amt_phase_out_begins,0),0)</f>
        <v>63600</v>
      </c>
      <c r="V5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45994</v>
      </c>
      <c r="W518" s="1">
        <f>IF(AND(Table1[[#This Row],[AMT Taxes]]&gt;Table1[[#This Row],[Regular Taxes Owed]],Table1[[#This Row],[AMT Taxes]]&gt;0),Table1[[#This Row],[AMT Taxes]]-Table1[[#This Row],[Regular Taxes Owed]],0)</f>
        <v>3134.5</v>
      </c>
      <c r="X518" s="9">
        <f>Table1[[#This Row],[Extra Taxes From Amt]]+Table1[[#This Row],[Federal Taxes Owed (No AMT)]]</f>
        <v>45994</v>
      </c>
      <c r="Y518" s="9">
        <f>IF(Table1[[#This Row],[taxable wages]]&gt;obamacare_surcharge_amount,obamacare_surcharge_percent*(Table1[[#This Row],[taxable wages]]-obamacare_surcharge_amount),0)</f>
        <v>0</v>
      </c>
      <c r="Z518" s="9">
        <f>Table1[[#This Row],[Federal Taxes Owed (Includes AMT)]]+Table1[[#This Row],[Obamacare surcharge premium]]</f>
        <v>45994</v>
      </c>
      <c r="AA518" s="9">
        <f>Table1[[#This Row],[taxable wages]]-Table1[[#This Row],[Federal Taxes Owed2]]</f>
        <v>194506</v>
      </c>
      <c r="AB518" s="51">
        <f t="shared" si="46"/>
        <v>0.32500000000000001</v>
      </c>
      <c r="AC518" s="41"/>
      <c r="AD518" s="13"/>
      <c r="AE518" s="13"/>
    </row>
    <row r="519" spans="2:31" x14ac:dyDescent="0.3">
      <c r="B519" s="41">
        <f t="shared" si="47"/>
        <v>241000</v>
      </c>
      <c r="C519" s="1">
        <f>Table1[[#This Row],[taxable wages]]</f>
        <v>241000</v>
      </c>
      <c r="D519" s="1">
        <f>Table1[[#This Row],[taxable wages]]+interest+dividends+short_term_capital_gains+long_term_capital_gains</f>
        <v>241000</v>
      </c>
      <c r="E519" s="1">
        <f>MAX(Table1[[#This Row],[earned income for EITC]:[Agi For Eitc Calc]])</f>
        <v>241000</v>
      </c>
      <c r="F519" s="1">
        <f>Table1[[#This Row],[taxable wages]]+interest+dividends+short_term_capital_gains+long_term_capital_gains-(trad_ira_contributions+MIN(student_loan_interest_cap,student_loan_interest))</f>
        <v>241000</v>
      </c>
      <c r="G519" s="1">
        <f t="shared" si="43"/>
        <v>12600</v>
      </c>
      <c r="H519" s="1">
        <f t="shared" si="44"/>
        <v>28350</v>
      </c>
      <c r="I519" s="1">
        <f>MAX(0,Table1[[#This Row],[Agi]]-Table1[[#This Row],[Exemptions]]-Table1[[#This Row],[Effective Deductions]])</f>
        <v>200050</v>
      </c>
      <c r="J5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42999.5</v>
      </c>
      <c r="K519" s="1">
        <f t="shared" si="45"/>
        <v>5000</v>
      </c>
      <c r="L519" s="1">
        <f>IF(Table1[[#This Row],[Agi]]&gt;ctc_phase_out_begins,ctc_phase_out_rate*(Table1[[#This Row],[Agi]]-ctc_phase_out_begins),0)</f>
        <v>6550</v>
      </c>
      <c r="M519" s="1">
        <f>MAX(Table1[[#This Row],[Child Tax Credit]]-Table1[[#This Row],[Child Tax Credit Phase Out]],0)</f>
        <v>0</v>
      </c>
      <c r="N519" s="1">
        <f>MAX(Table1[[#This Row],[Regular Taxes Owed]]-Table1[[#This Row],[Effective Child Tax Credit]],0)</f>
        <v>42999.5</v>
      </c>
      <c r="O519" s="1">
        <f>MAX(MIN((Table1[[#This Row],[taxable wages]]-3000)*0.15,1000*num_kids_16_younger),0)</f>
        <v>5000</v>
      </c>
      <c r="P519" s="9">
        <f>IF(Table1[[#This Row],[Effective Child Tax Credit]]&gt;Table1[[#This Row],[Regular Taxes Owed]],Table1[[#This Row],[Additional Child Tax Credit ]]-Table1[[#This Row],[Regular Taxes Owed]],0)</f>
        <v>0</v>
      </c>
      <c r="Q5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19" s="1">
        <f>Table1[[#This Row],[Effective Additional Child Tax Credit]]+Table1[[#This Row],[Eitc]]</f>
        <v>0</v>
      </c>
      <c r="S519" s="9">
        <f>Table1[[#This Row],[Regular Taxes Owed - Effective Child Tax Credit]]-Table1[[#This Row],[Total Credits]]</f>
        <v>42999.5</v>
      </c>
      <c r="T519" s="9">
        <f>Table1[[#This Row],[taxable wages]]+interest+dividends+short_term_capital_gains+long_term_capital_gains-(charitable_donations+mortgage_interest)</f>
        <v>241000</v>
      </c>
      <c r="U519" s="9">
        <f>MAX(amt_exemption-amt_exemption_phase_out_rate*MAX(Table1[[#This Row],[taxable wages]]-amt_phase_out_begins,0),0)</f>
        <v>63475</v>
      </c>
      <c r="V5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46156.5</v>
      </c>
      <c r="W519" s="1">
        <f>IF(AND(Table1[[#This Row],[AMT Taxes]]&gt;Table1[[#This Row],[Regular Taxes Owed]],Table1[[#This Row],[AMT Taxes]]&gt;0),Table1[[#This Row],[AMT Taxes]]-Table1[[#This Row],[Regular Taxes Owed]],0)</f>
        <v>3157</v>
      </c>
      <c r="X519" s="9">
        <f>Table1[[#This Row],[Extra Taxes From Amt]]+Table1[[#This Row],[Federal Taxes Owed (No AMT)]]</f>
        <v>46156.5</v>
      </c>
      <c r="Y519" s="9">
        <f>IF(Table1[[#This Row],[taxable wages]]&gt;obamacare_surcharge_amount,obamacare_surcharge_percent*(Table1[[#This Row],[taxable wages]]-obamacare_surcharge_amount),0)</f>
        <v>0</v>
      </c>
      <c r="Z519" s="9">
        <f>Table1[[#This Row],[Federal Taxes Owed (Includes AMT)]]+Table1[[#This Row],[Obamacare surcharge premium]]</f>
        <v>46156.5</v>
      </c>
      <c r="AA519" s="9">
        <f>Table1[[#This Row],[taxable wages]]-Table1[[#This Row],[Federal Taxes Owed2]]</f>
        <v>194843.5</v>
      </c>
      <c r="AB519" s="51">
        <f t="shared" si="46"/>
        <v>0.32500000000000001</v>
      </c>
      <c r="AC519" s="41"/>
      <c r="AD519" s="13"/>
      <c r="AE519" s="13"/>
    </row>
    <row r="520" spans="2:31" x14ac:dyDescent="0.3">
      <c r="B520" s="41">
        <f t="shared" si="47"/>
        <v>241500</v>
      </c>
      <c r="C520" s="1">
        <f>Table1[[#This Row],[taxable wages]]</f>
        <v>241500</v>
      </c>
      <c r="D520" s="1">
        <f>Table1[[#This Row],[taxable wages]]+interest+dividends+short_term_capital_gains+long_term_capital_gains</f>
        <v>241500</v>
      </c>
      <c r="E520" s="1">
        <f>MAX(Table1[[#This Row],[earned income for EITC]:[Agi For Eitc Calc]])</f>
        <v>241500</v>
      </c>
      <c r="F520" s="1">
        <f>Table1[[#This Row],[taxable wages]]+interest+dividends+short_term_capital_gains+long_term_capital_gains-(trad_ira_contributions+MIN(student_loan_interest_cap,student_loan_interest))</f>
        <v>241500</v>
      </c>
      <c r="G520" s="1">
        <f t="shared" si="43"/>
        <v>12600</v>
      </c>
      <c r="H520" s="1">
        <f t="shared" si="44"/>
        <v>28350</v>
      </c>
      <c r="I520" s="1">
        <f>MAX(0,Table1[[#This Row],[Agi]]-Table1[[#This Row],[Exemptions]]-Table1[[#This Row],[Effective Deductions]])</f>
        <v>200550</v>
      </c>
      <c r="J5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43139.5</v>
      </c>
      <c r="K520" s="1">
        <f t="shared" si="45"/>
        <v>5000</v>
      </c>
      <c r="L520" s="1">
        <f>IF(Table1[[#This Row],[Agi]]&gt;ctc_phase_out_begins,ctc_phase_out_rate*(Table1[[#This Row],[Agi]]-ctc_phase_out_begins),0)</f>
        <v>6575</v>
      </c>
      <c r="M520" s="1">
        <f>MAX(Table1[[#This Row],[Child Tax Credit]]-Table1[[#This Row],[Child Tax Credit Phase Out]],0)</f>
        <v>0</v>
      </c>
      <c r="N520" s="1">
        <f>MAX(Table1[[#This Row],[Regular Taxes Owed]]-Table1[[#This Row],[Effective Child Tax Credit]],0)</f>
        <v>43139.5</v>
      </c>
      <c r="O520" s="1">
        <f>MAX(MIN((Table1[[#This Row],[taxable wages]]-3000)*0.15,1000*num_kids_16_younger),0)</f>
        <v>5000</v>
      </c>
      <c r="P520" s="9">
        <f>IF(Table1[[#This Row],[Effective Child Tax Credit]]&gt;Table1[[#This Row],[Regular Taxes Owed]],Table1[[#This Row],[Additional Child Tax Credit ]]-Table1[[#This Row],[Regular Taxes Owed]],0)</f>
        <v>0</v>
      </c>
      <c r="Q5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0" s="1">
        <f>Table1[[#This Row],[Effective Additional Child Tax Credit]]+Table1[[#This Row],[Eitc]]</f>
        <v>0</v>
      </c>
      <c r="S520" s="9">
        <f>Table1[[#This Row],[Regular Taxes Owed - Effective Child Tax Credit]]-Table1[[#This Row],[Total Credits]]</f>
        <v>43139.5</v>
      </c>
      <c r="T520" s="9">
        <f>Table1[[#This Row],[taxable wages]]+interest+dividends+short_term_capital_gains+long_term_capital_gains-(charitable_donations+mortgage_interest)</f>
        <v>241500</v>
      </c>
      <c r="U520" s="9">
        <f>MAX(amt_exemption-amt_exemption_phase_out_rate*MAX(Table1[[#This Row],[taxable wages]]-amt_phase_out_begins,0),0)</f>
        <v>63350</v>
      </c>
      <c r="V5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46319</v>
      </c>
      <c r="W520" s="1">
        <f>IF(AND(Table1[[#This Row],[AMT Taxes]]&gt;Table1[[#This Row],[Regular Taxes Owed]],Table1[[#This Row],[AMT Taxes]]&gt;0),Table1[[#This Row],[AMT Taxes]]-Table1[[#This Row],[Regular Taxes Owed]],0)</f>
        <v>3179.5</v>
      </c>
      <c r="X520" s="9">
        <f>Table1[[#This Row],[Extra Taxes From Amt]]+Table1[[#This Row],[Federal Taxes Owed (No AMT)]]</f>
        <v>46319</v>
      </c>
      <c r="Y520" s="9">
        <f>IF(Table1[[#This Row],[taxable wages]]&gt;obamacare_surcharge_amount,obamacare_surcharge_percent*(Table1[[#This Row],[taxable wages]]-obamacare_surcharge_amount),0)</f>
        <v>0</v>
      </c>
      <c r="Z520" s="9">
        <f>Table1[[#This Row],[Federal Taxes Owed (Includes AMT)]]+Table1[[#This Row],[Obamacare surcharge premium]]</f>
        <v>46319</v>
      </c>
      <c r="AA520" s="9">
        <f>Table1[[#This Row],[taxable wages]]-Table1[[#This Row],[Federal Taxes Owed2]]</f>
        <v>195181</v>
      </c>
      <c r="AB520" s="51">
        <f t="shared" si="46"/>
        <v>0.32500000000000001</v>
      </c>
      <c r="AC520" s="41"/>
      <c r="AD520" s="13"/>
      <c r="AE520" s="13"/>
    </row>
    <row r="521" spans="2:31" x14ac:dyDescent="0.3">
      <c r="B521" s="41">
        <f t="shared" si="47"/>
        <v>242000</v>
      </c>
      <c r="C521" s="1">
        <f>Table1[[#This Row],[taxable wages]]</f>
        <v>242000</v>
      </c>
      <c r="D521" s="1">
        <f>Table1[[#This Row],[taxable wages]]+interest+dividends+short_term_capital_gains+long_term_capital_gains</f>
        <v>242000</v>
      </c>
      <c r="E521" s="1">
        <f>MAX(Table1[[#This Row],[earned income for EITC]:[Agi For Eitc Calc]])</f>
        <v>242000</v>
      </c>
      <c r="F521" s="1">
        <f>Table1[[#This Row],[taxable wages]]+interest+dividends+short_term_capital_gains+long_term_capital_gains-(trad_ira_contributions+MIN(student_loan_interest_cap,student_loan_interest))</f>
        <v>242000</v>
      </c>
      <c r="G521" s="1">
        <f t="shared" si="43"/>
        <v>12600</v>
      </c>
      <c r="H521" s="1">
        <f t="shared" si="44"/>
        <v>28350</v>
      </c>
      <c r="I521" s="1">
        <f>MAX(0,Table1[[#This Row],[Agi]]-Table1[[#This Row],[Exemptions]]-Table1[[#This Row],[Effective Deductions]])</f>
        <v>201050</v>
      </c>
      <c r="J5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43279.5</v>
      </c>
      <c r="K521" s="1">
        <f t="shared" si="45"/>
        <v>5000</v>
      </c>
      <c r="L521" s="1">
        <f>IF(Table1[[#This Row],[Agi]]&gt;ctc_phase_out_begins,ctc_phase_out_rate*(Table1[[#This Row],[Agi]]-ctc_phase_out_begins),0)</f>
        <v>6600</v>
      </c>
      <c r="M521" s="1">
        <f>MAX(Table1[[#This Row],[Child Tax Credit]]-Table1[[#This Row],[Child Tax Credit Phase Out]],0)</f>
        <v>0</v>
      </c>
      <c r="N521" s="1">
        <f>MAX(Table1[[#This Row],[Regular Taxes Owed]]-Table1[[#This Row],[Effective Child Tax Credit]],0)</f>
        <v>43279.5</v>
      </c>
      <c r="O521" s="1">
        <f>MAX(MIN((Table1[[#This Row],[taxable wages]]-3000)*0.15,1000*num_kids_16_younger),0)</f>
        <v>5000</v>
      </c>
      <c r="P521" s="9">
        <f>IF(Table1[[#This Row],[Effective Child Tax Credit]]&gt;Table1[[#This Row],[Regular Taxes Owed]],Table1[[#This Row],[Additional Child Tax Credit ]]-Table1[[#This Row],[Regular Taxes Owed]],0)</f>
        <v>0</v>
      </c>
      <c r="Q5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1" s="1">
        <f>Table1[[#This Row],[Effective Additional Child Tax Credit]]+Table1[[#This Row],[Eitc]]</f>
        <v>0</v>
      </c>
      <c r="S521" s="9">
        <f>Table1[[#This Row],[Regular Taxes Owed - Effective Child Tax Credit]]-Table1[[#This Row],[Total Credits]]</f>
        <v>43279.5</v>
      </c>
      <c r="T521" s="9">
        <f>Table1[[#This Row],[taxable wages]]+interest+dividends+short_term_capital_gains+long_term_capital_gains-(charitable_donations+mortgage_interest)</f>
        <v>242000</v>
      </c>
      <c r="U521" s="9">
        <f>MAX(amt_exemption-amt_exemption_phase_out_rate*MAX(Table1[[#This Row],[taxable wages]]-amt_phase_out_begins,0),0)</f>
        <v>63225</v>
      </c>
      <c r="V5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46481.5</v>
      </c>
      <c r="W521" s="1">
        <f>IF(AND(Table1[[#This Row],[AMT Taxes]]&gt;Table1[[#This Row],[Regular Taxes Owed]],Table1[[#This Row],[AMT Taxes]]&gt;0),Table1[[#This Row],[AMT Taxes]]-Table1[[#This Row],[Regular Taxes Owed]],0)</f>
        <v>3202</v>
      </c>
      <c r="X521" s="9">
        <f>Table1[[#This Row],[Extra Taxes From Amt]]+Table1[[#This Row],[Federal Taxes Owed (No AMT)]]</f>
        <v>46481.5</v>
      </c>
      <c r="Y521" s="9">
        <f>IF(Table1[[#This Row],[taxable wages]]&gt;obamacare_surcharge_amount,obamacare_surcharge_percent*(Table1[[#This Row],[taxable wages]]-obamacare_surcharge_amount),0)</f>
        <v>0</v>
      </c>
      <c r="Z521" s="9">
        <f>Table1[[#This Row],[Federal Taxes Owed (Includes AMT)]]+Table1[[#This Row],[Obamacare surcharge premium]]</f>
        <v>46481.5</v>
      </c>
      <c r="AA521" s="9">
        <f>Table1[[#This Row],[taxable wages]]-Table1[[#This Row],[Federal Taxes Owed2]]</f>
        <v>195518.5</v>
      </c>
      <c r="AB521" s="51">
        <f t="shared" si="46"/>
        <v>0.32500000000000001</v>
      </c>
      <c r="AC521" s="41"/>
      <c r="AD521" s="13"/>
      <c r="AE521" s="13"/>
    </row>
    <row r="522" spans="2:31" x14ac:dyDescent="0.3">
      <c r="B522" s="41">
        <f t="shared" si="47"/>
        <v>242500</v>
      </c>
      <c r="C522" s="1">
        <f>Table1[[#This Row],[taxable wages]]</f>
        <v>242500</v>
      </c>
      <c r="D522" s="1">
        <f>Table1[[#This Row],[taxable wages]]+interest+dividends+short_term_capital_gains+long_term_capital_gains</f>
        <v>242500</v>
      </c>
      <c r="E522" s="1">
        <f>MAX(Table1[[#This Row],[earned income for EITC]:[Agi For Eitc Calc]])</f>
        <v>242500</v>
      </c>
      <c r="F522" s="1">
        <f>Table1[[#This Row],[taxable wages]]+interest+dividends+short_term_capital_gains+long_term_capital_gains-(trad_ira_contributions+MIN(student_loan_interest_cap,student_loan_interest))</f>
        <v>242500</v>
      </c>
      <c r="G522" s="1">
        <f t="shared" si="43"/>
        <v>12600</v>
      </c>
      <c r="H522" s="1">
        <f t="shared" si="44"/>
        <v>28350</v>
      </c>
      <c r="I522" s="1">
        <f>MAX(0,Table1[[#This Row],[Agi]]-Table1[[#This Row],[Exemptions]]-Table1[[#This Row],[Effective Deductions]])</f>
        <v>201550</v>
      </c>
      <c r="J5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43419.5</v>
      </c>
      <c r="K522" s="1">
        <f t="shared" si="45"/>
        <v>5000</v>
      </c>
      <c r="L522" s="1">
        <f>IF(Table1[[#This Row],[Agi]]&gt;ctc_phase_out_begins,ctc_phase_out_rate*(Table1[[#This Row],[Agi]]-ctc_phase_out_begins),0)</f>
        <v>6625</v>
      </c>
      <c r="M522" s="1">
        <f>MAX(Table1[[#This Row],[Child Tax Credit]]-Table1[[#This Row],[Child Tax Credit Phase Out]],0)</f>
        <v>0</v>
      </c>
      <c r="N522" s="1">
        <f>MAX(Table1[[#This Row],[Regular Taxes Owed]]-Table1[[#This Row],[Effective Child Tax Credit]],0)</f>
        <v>43419.5</v>
      </c>
      <c r="O522" s="1">
        <f>MAX(MIN((Table1[[#This Row],[taxable wages]]-3000)*0.15,1000*num_kids_16_younger),0)</f>
        <v>5000</v>
      </c>
      <c r="P522" s="9">
        <f>IF(Table1[[#This Row],[Effective Child Tax Credit]]&gt;Table1[[#This Row],[Regular Taxes Owed]],Table1[[#This Row],[Additional Child Tax Credit ]]-Table1[[#This Row],[Regular Taxes Owed]],0)</f>
        <v>0</v>
      </c>
      <c r="Q5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2" s="1">
        <f>Table1[[#This Row],[Effective Additional Child Tax Credit]]+Table1[[#This Row],[Eitc]]</f>
        <v>0</v>
      </c>
      <c r="S522" s="9">
        <f>Table1[[#This Row],[Regular Taxes Owed - Effective Child Tax Credit]]-Table1[[#This Row],[Total Credits]]</f>
        <v>43419.5</v>
      </c>
      <c r="T522" s="9">
        <f>Table1[[#This Row],[taxable wages]]+interest+dividends+short_term_capital_gains+long_term_capital_gains-(charitable_donations+mortgage_interest)</f>
        <v>242500</v>
      </c>
      <c r="U522" s="9">
        <f>MAX(amt_exemption-amt_exemption_phase_out_rate*MAX(Table1[[#This Row],[taxable wages]]-amt_phase_out_begins,0),0)</f>
        <v>63100</v>
      </c>
      <c r="V5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46644</v>
      </c>
      <c r="W522" s="1">
        <f>IF(AND(Table1[[#This Row],[AMT Taxes]]&gt;Table1[[#This Row],[Regular Taxes Owed]],Table1[[#This Row],[AMT Taxes]]&gt;0),Table1[[#This Row],[AMT Taxes]]-Table1[[#This Row],[Regular Taxes Owed]],0)</f>
        <v>3224.5</v>
      </c>
      <c r="X522" s="9">
        <f>Table1[[#This Row],[Extra Taxes From Amt]]+Table1[[#This Row],[Federal Taxes Owed (No AMT)]]</f>
        <v>46644</v>
      </c>
      <c r="Y522" s="9">
        <f>IF(Table1[[#This Row],[taxable wages]]&gt;obamacare_surcharge_amount,obamacare_surcharge_percent*(Table1[[#This Row],[taxable wages]]-obamacare_surcharge_amount),0)</f>
        <v>0</v>
      </c>
      <c r="Z522" s="9">
        <f>Table1[[#This Row],[Federal Taxes Owed (Includes AMT)]]+Table1[[#This Row],[Obamacare surcharge premium]]</f>
        <v>46644</v>
      </c>
      <c r="AA522" s="9">
        <f>Table1[[#This Row],[taxable wages]]-Table1[[#This Row],[Federal Taxes Owed2]]</f>
        <v>195856</v>
      </c>
      <c r="AB522" s="51">
        <f t="shared" si="46"/>
        <v>0.32500000000000001</v>
      </c>
      <c r="AC522" s="41"/>
      <c r="AD522" s="13"/>
      <c r="AE522" s="13"/>
    </row>
    <row r="523" spans="2:31" x14ac:dyDescent="0.3">
      <c r="B523" s="41">
        <f t="shared" si="47"/>
        <v>243000</v>
      </c>
      <c r="C523" s="1">
        <f>Table1[[#This Row],[taxable wages]]</f>
        <v>243000</v>
      </c>
      <c r="D523" s="1">
        <f>Table1[[#This Row],[taxable wages]]+interest+dividends+short_term_capital_gains+long_term_capital_gains</f>
        <v>243000</v>
      </c>
      <c r="E523" s="1">
        <f>MAX(Table1[[#This Row],[earned income for EITC]:[Agi For Eitc Calc]])</f>
        <v>243000</v>
      </c>
      <c r="F523" s="1">
        <f>Table1[[#This Row],[taxable wages]]+interest+dividends+short_term_capital_gains+long_term_capital_gains-(trad_ira_contributions+MIN(student_loan_interest_cap,student_loan_interest))</f>
        <v>243000</v>
      </c>
      <c r="G523" s="1">
        <f t="shared" si="43"/>
        <v>12600</v>
      </c>
      <c r="H523" s="1">
        <f t="shared" si="44"/>
        <v>28350</v>
      </c>
      <c r="I523" s="1">
        <f>MAX(0,Table1[[#This Row],[Agi]]-Table1[[#This Row],[Exemptions]]-Table1[[#This Row],[Effective Deductions]])</f>
        <v>202050</v>
      </c>
      <c r="J5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43559.5</v>
      </c>
      <c r="K523" s="1">
        <f t="shared" si="45"/>
        <v>5000</v>
      </c>
      <c r="L523" s="1">
        <f>IF(Table1[[#This Row],[Agi]]&gt;ctc_phase_out_begins,ctc_phase_out_rate*(Table1[[#This Row],[Agi]]-ctc_phase_out_begins),0)</f>
        <v>6650</v>
      </c>
      <c r="M523" s="1">
        <f>MAX(Table1[[#This Row],[Child Tax Credit]]-Table1[[#This Row],[Child Tax Credit Phase Out]],0)</f>
        <v>0</v>
      </c>
      <c r="N523" s="1">
        <f>MAX(Table1[[#This Row],[Regular Taxes Owed]]-Table1[[#This Row],[Effective Child Tax Credit]],0)</f>
        <v>43559.5</v>
      </c>
      <c r="O523" s="1">
        <f>MAX(MIN((Table1[[#This Row],[taxable wages]]-3000)*0.15,1000*num_kids_16_younger),0)</f>
        <v>5000</v>
      </c>
      <c r="P523" s="9">
        <f>IF(Table1[[#This Row],[Effective Child Tax Credit]]&gt;Table1[[#This Row],[Regular Taxes Owed]],Table1[[#This Row],[Additional Child Tax Credit ]]-Table1[[#This Row],[Regular Taxes Owed]],0)</f>
        <v>0</v>
      </c>
      <c r="Q5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3" s="1">
        <f>Table1[[#This Row],[Effective Additional Child Tax Credit]]+Table1[[#This Row],[Eitc]]</f>
        <v>0</v>
      </c>
      <c r="S523" s="9">
        <f>Table1[[#This Row],[Regular Taxes Owed - Effective Child Tax Credit]]-Table1[[#This Row],[Total Credits]]</f>
        <v>43559.5</v>
      </c>
      <c r="T523" s="9">
        <f>Table1[[#This Row],[taxable wages]]+interest+dividends+short_term_capital_gains+long_term_capital_gains-(charitable_donations+mortgage_interest)</f>
        <v>243000</v>
      </c>
      <c r="U523" s="9">
        <f>MAX(amt_exemption-amt_exemption_phase_out_rate*MAX(Table1[[#This Row],[taxable wages]]-amt_phase_out_begins,0),0)</f>
        <v>62975</v>
      </c>
      <c r="V5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46806.5</v>
      </c>
      <c r="W523" s="1">
        <f>IF(AND(Table1[[#This Row],[AMT Taxes]]&gt;Table1[[#This Row],[Regular Taxes Owed]],Table1[[#This Row],[AMT Taxes]]&gt;0),Table1[[#This Row],[AMT Taxes]]-Table1[[#This Row],[Regular Taxes Owed]],0)</f>
        <v>3247</v>
      </c>
      <c r="X523" s="9">
        <f>Table1[[#This Row],[Extra Taxes From Amt]]+Table1[[#This Row],[Federal Taxes Owed (No AMT)]]</f>
        <v>46806.5</v>
      </c>
      <c r="Y523" s="9">
        <f>IF(Table1[[#This Row],[taxable wages]]&gt;obamacare_surcharge_amount,obamacare_surcharge_percent*(Table1[[#This Row],[taxable wages]]-obamacare_surcharge_amount),0)</f>
        <v>0</v>
      </c>
      <c r="Z523" s="9">
        <f>Table1[[#This Row],[Federal Taxes Owed (Includes AMT)]]+Table1[[#This Row],[Obamacare surcharge premium]]</f>
        <v>46806.5</v>
      </c>
      <c r="AA523" s="9">
        <f>Table1[[#This Row],[taxable wages]]-Table1[[#This Row],[Federal Taxes Owed2]]</f>
        <v>196193.5</v>
      </c>
      <c r="AB523" s="51">
        <f t="shared" si="46"/>
        <v>0.32500000000000001</v>
      </c>
      <c r="AC523" s="41"/>
      <c r="AD523" s="13"/>
      <c r="AE523" s="13"/>
    </row>
    <row r="524" spans="2:31" x14ac:dyDescent="0.3">
      <c r="B524" s="41">
        <f t="shared" si="47"/>
        <v>243500</v>
      </c>
      <c r="C524" s="1">
        <f>Table1[[#This Row],[taxable wages]]</f>
        <v>243500</v>
      </c>
      <c r="D524" s="1">
        <f>Table1[[#This Row],[taxable wages]]+interest+dividends+short_term_capital_gains+long_term_capital_gains</f>
        <v>243500</v>
      </c>
      <c r="E524" s="1">
        <f>MAX(Table1[[#This Row],[earned income for EITC]:[Agi For Eitc Calc]])</f>
        <v>243500</v>
      </c>
      <c r="F524" s="1">
        <f>Table1[[#This Row],[taxable wages]]+interest+dividends+short_term_capital_gains+long_term_capital_gains-(trad_ira_contributions+MIN(student_loan_interest_cap,student_loan_interest))</f>
        <v>243500</v>
      </c>
      <c r="G524" s="1">
        <f t="shared" si="43"/>
        <v>12600</v>
      </c>
      <c r="H524" s="1">
        <f t="shared" si="44"/>
        <v>28350</v>
      </c>
      <c r="I524" s="1">
        <f>MAX(0,Table1[[#This Row],[Agi]]-Table1[[#This Row],[Exemptions]]-Table1[[#This Row],[Effective Deductions]])</f>
        <v>202550</v>
      </c>
      <c r="J5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43699.5</v>
      </c>
      <c r="K524" s="1">
        <f t="shared" si="45"/>
        <v>5000</v>
      </c>
      <c r="L524" s="1">
        <f>IF(Table1[[#This Row],[Agi]]&gt;ctc_phase_out_begins,ctc_phase_out_rate*(Table1[[#This Row],[Agi]]-ctc_phase_out_begins),0)</f>
        <v>6675</v>
      </c>
      <c r="M524" s="1">
        <f>MAX(Table1[[#This Row],[Child Tax Credit]]-Table1[[#This Row],[Child Tax Credit Phase Out]],0)</f>
        <v>0</v>
      </c>
      <c r="N524" s="1">
        <f>MAX(Table1[[#This Row],[Regular Taxes Owed]]-Table1[[#This Row],[Effective Child Tax Credit]],0)</f>
        <v>43699.5</v>
      </c>
      <c r="O524" s="1">
        <f>MAX(MIN((Table1[[#This Row],[taxable wages]]-3000)*0.15,1000*num_kids_16_younger),0)</f>
        <v>5000</v>
      </c>
      <c r="P524" s="9">
        <f>IF(Table1[[#This Row],[Effective Child Tax Credit]]&gt;Table1[[#This Row],[Regular Taxes Owed]],Table1[[#This Row],[Additional Child Tax Credit ]]-Table1[[#This Row],[Regular Taxes Owed]],0)</f>
        <v>0</v>
      </c>
      <c r="Q5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4" s="1">
        <f>Table1[[#This Row],[Effective Additional Child Tax Credit]]+Table1[[#This Row],[Eitc]]</f>
        <v>0</v>
      </c>
      <c r="S524" s="9">
        <f>Table1[[#This Row],[Regular Taxes Owed - Effective Child Tax Credit]]-Table1[[#This Row],[Total Credits]]</f>
        <v>43699.5</v>
      </c>
      <c r="T524" s="9">
        <f>Table1[[#This Row],[taxable wages]]+interest+dividends+short_term_capital_gains+long_term_capital_gains-(charitable_donations+mortgage_interest)</f>
        <v>243500</v>
      </c>
      <c r="U524" s="9">
        <f>MAX(amt_exemption-amt_exemption_phase_out_rate*MAX(Table1[[#This Row],[taxable wages]]-amt_phase_out_begins,0),0)</f>
        <v>62850</v>
      </c>
      <c r="V5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46969</v>
      </c>
      <c r="W524" s="1">
        <f>IF(AND(Table1[[#This Row],[AMT Taxes]]&gt;Table1[[#This Row],[Regular Taxes Owed]],Table1[[#This Row],[AMT Taxes]]&gt;0),Table1[[#This Row],[AMT Taxes]]-Table1[[#This Row],[Regular Taxes Owed]],0)</f>
        <v>3269.5</v>
      </c>
      <c r="X524" s="9">
        <f>Table1[[#This Row],[Extra Taxes From Amt]]+Table1[[#This Row],[Federal Taxes Owed (No AMT)]]</f>
        <v>46969</v>
      </c>
      <c r="Y524" s="9">
        <f>IF(Table1[[#This Row],[taxable wages]]&gt;obamacare_surcharge_amount,obamacare_surcharge_percent*(Table1[[#This Row],[taxable wages]]-obamacare_surcharge_amount),0)</f>
        <v>0</v>
      </c>
      <c r="Z524" s="9">
        <f>Table1[[#This Row],[Federal Taxes Owed (Includes AMT)]]+Table1[[#This Row],[Obamacare surcharge premium]]</f>
        <v>46969</v>
      </c>
      <c r="AA524" s="9">
        <f>Table1[[#This Row],[taxable wages]]-Table1[[#This Row],[Federal Taxes Owed2]]</f>
        <v>196531</v>
      </c>
      <c r="AB524" s="51">
        <f t="shared" si="46"/>
        <v>0.32500000000000001</v>
      </c>
      <c r="AC524" s="41"/>
      <c r="AD524" s="13"/>
      <c r="AE524" s="13"/>
    </row>
    <row r="525" spans="2:31" x14ac:dyDescent="0.3">
      <c r="B525" s="41">
        <f t="shared" si="47"/>
        <v>244000</v>
      </c>
      <c r="C525" s="1">
        <f>Table1[[#This Row],[taxable wages]]</f>
        <v>244000</v>
      </c>
      <c r="D525" s="1">
        <f>Table1[[#This Row],[taxable wages]]+interest+dividends+short_term_capital_gains+long_term_capital_gains</f>
        <v>244000</v>
      </c>
      <c r="E525" s="1">
        <f>MAX(Table1[[#This Row],[earned income for EITC]:[Agi For Eitc Calc]])</f>
        <v>244000</v>
      </c>
      <c r="F525" s="1">
        <f>Table1[[#This Row],[taxable wages]]+interest+dividends+short_term_capital_gains+long_term_capital_gains-(trad_ira_contributions+MIN(student_loan_interest_cap,student_loan_interest))</f>
        <v>244000</v>
      </c>
      <c r="G525" s="1">
        <f t="shared" si="43"/>
        <v>12600</v>
      </c>
      <c r="H525" s="1">
        <f t="shared" si="44"/>
        <v>28350</v>
      </c>
      <c r="I525" s="1">
        <f>MAX(0,Table1[[#This Row],[Agi]]-Table1[[#This Row],[Exemptions]]-Table1[[#This Row],[Effective Deductions]])</f>
        <v>203050</v>
      </c>
      <c r="J5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43839.5</v>
      </c>
      <c r="K525" s="1">
        <f t="shared" si="45"/>
        <v>5000</v>
      </c>
      <c r="L525" s="1">
        <f>IF(Table1[[#This Row],[Agi]]&gt;ctc_phase_out_begins,ctc_phase_out_rate*(Table1[[#This Row],[Agi]]-ctc_phase_out_begins),0)</f>
        <v>6700</v>
      </c>
      <c r="M525" s="1">
        <f>MAX(Table1[[#This Row],[Child Tax Credit]]-Table1[[#This Row],[Child Tax Credit Phase Out]],0)</f>
        <v>0</v>
      </c>
      <c r="N525" s="1">
        <f>MAX(Table1[[#This Row],[Regular Taxes Owed]]-Table1[[#This Row],[Effective Child Tax Credit]],0)</f>
        <v>43839.5</v>
      </c>
      <c r="O525" s="1">
        <f>MAX(MIN((Table1[[#This Row],[taxable wages]]-3000)*0.15,1000*num_kids_16_younger),0)</f>
        <v>5000</v>
      </c>
      <c r="P525" s="9">
        <f>IF(Table1[[#This Row],[Effective Child Tax Credit]]&gt;Table1[[#This Row],[Regular Taxes Owed]],Table1[[#This Row],[Additional Child Tax Credit ]]-Table1[[#This Row],[Regular Taxes Owed]],0)</f>
        <v>0</v>
      </c>
      <c r="Q5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5" s="1">
        <f>Table1[[#This Row],[Effective Additional Child Tax Credit]]+Table1[[#This Row],[Eitc]]</f>
        <v>0</v>
      </c>
      <c r="S525" s="9">
        <f>Table1[[#This Row],[Regular Taxes Owed - Effective Child Tax Credit]]-Table1[[#This Row],[Total Credits]]</f>
        <v>43839.5</v>
      </c>
      <c r="T525" s="9">
        <f>Table1[[#This Row],[taxable wages]]+interest+dividends+short_term_capital_gains+long_term_capital_gains-(charitable_donations+mortgage_interest)</f>
        <v>244000</v>
      </c>
      <c r="U525" s="9">
        <f>MAX(amt_exemption-amt_exemption_phase_out_rate*MAX(Table1[[#This Row],[taxable wages]]-amt_phase_out_begins,0),0)</f>
        <v>62725</v>
      </c>
      <c r="V5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47131.5</v>
      </c>
      <c r="W525" s="1">
        <f>IF(AND(Table1[[#This Row],[AMT Taxes]]&gt;Table1[[#This Row],[Regular Taxes Owed]],Table1[[#This Row],[AMT Taxes]]&gt;0),Table1[[#This Row],[AMT Taxes]]-Table1[[#This Row],[Regular Taxes Owed]],0)</f>
        <v>3292</v>
      </c>
      <c r="X525" s="9">
        <f>Table1[[#This Row],[Extra Taxes From Amt]]+Table1[[#This Row],[Federal Taxes Owed (No AMT)]]</f>
        <v>47131.5</v>
      </c>
      <c r="Y525" s="9">
        <f>IF(Table1[[#This Row],[taxable wages]]&gt;obamacare_surcharge_amount,obamacare_surcharge_percent*(Table1[[#This Row],[taxable wages]]-obamacare_surcharge_amount),0)</f>
        <v>0</v>
      </c>
      <c r="Z525" s="9">
        <f>Table1[[#This Row],[Federal Taxes Owed (Includes AMT)]]+Table1[[#This Row],[Obamacare surcharge premium]]</f>
        <v>47131.5</v>
      </c>
      <c r="AA525" s="9">
        <f>Table1[[#This Row],[taxable wages]]-Table1[[#This Row],[Federal Taxes Owed2]]</f>
        <v>196868.5</v>
      </c>
      <c r="AB525" s="51">
        <f t="shared" si="46"/>
        <v>0.32500000000000001</v>
      </c>
      <c r="AC525" s="41"/>
      <c r="AD525" s="13"/>
      <c r="AE525" s="13"/>
    </row>
    <row r="526" spans="2:31" x14ac:dyDescent="0.3">
      <c r="B526" s="41">
        <f t="shared" si="47"/>
        <v>244500</v>
      </c>
      <c r="C526" s="1">
        <f>Table1[[#This Row],[taxable wages]]</f>
        <v>244500</v>
      </c>
      <c r="D526" s="1">
        <f>Table1[[#This Row],[taxable wages]]+interest+dividends+short_term_capital_gains+long_term_capital_gains</f>
        <v>244500</v>
      </c>
      <c r="E526" s="1">
        <f>MAX(Table1[[#This Row],[earned income for EITC]:[Agi For Eitc Calc]])</f>
        <v>244500</v>
      </c>
      <c r="F526" s="1">
        <f>Table1[[#This Row],[taxable wages]]+interest+dividends+short_term_capital_gains+long_term_capital_gains-(trad_ira_contributions+MIN(student_loan_interest_cap,student_loan_interest))</f>
        <v>244500</v>
      </c>
      <c r="G526" s="1">
        <f t="shared" si="43"/>
        <v>12600</v>
      </c>
      <c r="H526" s="1">
        <f t="shared" si="44"/>
        <v>28350</v>
      </c>
      <c r="I526" s="1">
        <f>MAX(0,Table1[[#This Row],[Agi]]-Table1[[#This Row],[Exemptions]]-Table1[[#This Row],[Effective Deductions]])</f>
        <v>203550</v>
      </c>
      <c r="J5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43979.5</v>
      </c>
      <c r="K526" s="1">
        <f t="shared" si="45"/>
        <v>5000</v>
      </c>
      <c r="L526" s="1">
        <f>IF(Table1[[#This Row],[Agi]]&gt;ctc_phase_out_begins,ctc_phase_out_rate*(Table1[[#This Row],[Agi]]-ctc_phase_out_begins),0)</f>
        <v>6725</v>
      </c>
      <c r="M526" s="1">
        <f>MAX(Table1[[#This Row],[Child Tax Credit]]-Table1[[#This Row],[Child Tax Credit Phase Out]],0)</f>
        <v>0</v>
      </c>
      <c r="N526" s="1">
        <f>MAX(Table1[[#This Row],[Regular Taxes Owed]]-Table1[[#This Row],[Effective Child Tax Credit]],0)</f>
        <v>43979.5</v>
      </c>
      <c r="O526" s="1">
        <f>MAX(MIN((Table1[[#This Row],[taxable wages]]-3000)*0.15,1000*num_kids_16_younger),0)</f>
        <v>5000</v>
      </c>
      <c r="P526" s="9">
        <f>IF(Table1[[#This Row],[Effective Child Tax Credit]]&gt;Table1[[#This Row],[Regular Taxes Owed]],Table1[[#This Row],[Additional Child Tax Credit ]]-Table1[[#This Row],[Regular Taxes Owed]],0)</f>
        <v>0</v>
      </c>
      <c r="Q5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6" s="1">
        <f>Table1[[#This Row],[Effective Additional Child Tax Credit]]+Table1[[#This Row],[Eitc]]</f>
        <v>0</v>
      </c>
      <c r="S526" s="9">
        <f>Table1[[#This Row],[Regular Taxes Owed - Effective Child Tax Credit]]-Table1[[#This Row],[Total Credits]]</f>
        <v>43979.5</v>
      </c>
      <c r="T526" s="9">
        <f>Table1[[#This Row],[taxable wages]]+interest+dividends+short_term_capital_gains+long_term_capital_gains-(charitable_donations+mortgage_interest)</f>
        <v>244500</v>
      </c>
      <c r="U526" s="9">
        <f>MAX(amt_exemption-amt_exemption_phase_out_rate*MAX(Table1[[#This Row],[taxable wages]]-amt_phase_out_begins,0),0)</f>
        <v>62600</v>
      </c>
      <c r="V5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47294</v>
      </c>
      <c r="W526" s="1">
        <f>IF(AND(Table1[[#This Row],[AMT Taxes]]&gt;Table1[[#This Row],[Regular Taxes Owed]],Table1[[#This Row],[AMT Taxes]]&gt;0),Table1[[#This Row],[AMT Taxes]]-Table1[[#This Row],[Regular Taxes Owed]],0)</f>
        <v>3314.5</v>
      </c>
      <c r="X526" s="9">
        <f>Table1[[#This Row],[Extra Taxes From Amt]]+Table1[[#This Row],[Federal Taxes Owed (No AMT)]]</f>
        <v>47294</v>
      </c>
      <c r="Y526" s="9">
        <f>IF(Table1[[#This Row],[taxable wages]]&gt;obamacare_surcharge_amount,obamacare_surcharge_percent*(Table1[[#This Row],[taxable wages]]-obamacare_surcharge_amount),0)</f>
        <v>0</v>
      </c>
      <c r="Z526" s="9">
        <f>Table1[[#This Row],[Federal Taxes Owed (Includes AMT)]]+Table1[[#This Row],[Obamacare surcharge premium]]</f>
        <v>47294</v>
      </c>
      <c r="AA526" s="9">
        <f>Table1[[#This Row],[taxable wages]]-Table1[[#This Row],[Federal Taxes Owed2]]</f>
        <v>197206</v>
      </c>
      <c r="AB526" s="51">
        <f t="shared" si="46"/>
        <v>0.32500000000000001</v>
      </c>
      <c r="AC526" s="41"/>
      <c r="AD526" s="13"/>
      <c r="AE526" s="13"/>
    </row>
    <row r="527" spans="2:31" x14ac:dyDescent="0.3">
      <c r="B527" s="41">
        <f t="shared" si="47"/>
        <v>245000</v>
      </c>
      <c r="C527" s="1">
        <f>Table1[[#This Row],[taxable wages]]</f>
        <v>245000</v>
      </c>
      <c r="D527" s="1">
        <f>Table1[[#This Row],[taxable wages]]+interest+dividends+short_term_capital_gains+long_term_capital_gains</f>
        <v>245000</v>
      </c>
      <c r="E527" s="1">
        <f>MAX(Table1[[#This Row],[earned income for EITC]:[Agi For Eitc Calc]])</f>
        <v>245000</v>
      </c>
      <c r="F527" s="1">
        <f>Table1[[#This Row],[taxable wages]]+interest+dividends+short_term_capital_gains+long_term_capital_gains-(trad_ira_contributions+MIN(student_loan_interest_cap,student_loan_interest))</f>
        <v>245000</v>
      </c>
      <c r="G527" s="1">
        <f t="shared" si="43"/>
        <v>12600</v>
      </c>
      <c r="H527" s="1">
        <f t="shared" si="44"/>
        <v>28350</v>
      </c>
      <c r="I527" s="1">
        <f>MAX(0,Table1[[#This Row],[Agi]]-Table1[[#This Row],[Exemptions]]-Table1[[#This Row],[Effective Deductions]])</f>
        <v>204050</v>
      </c>
      <c r="J5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44119.5</v>
      </c>
      <c r="K527" s="1">
        <f t="shared" si="45"/>
        <v>5000</v>
      </c>
      <c r="L527" s="1">
        <f>IF(Table1[[#This Row],[Agi]]&gt;ctc_phase_out_begins,ctc_phase_out_rate*(Table1[[#This Row],[Agi]]-ctc_phase_out_begins),0)</f>
        <v>6750</v>
      </c>
      <c r="M527" s="1">
        <f>MAX(Table1[[#This Row],[Child Tax Credit]]-Table1[[#This Row],[Child Tax Credit Phase Out]],0)</f>
        <v>0</v>
      </c>
      <c r="N527" s="1">
        <f>MAX(Table1[[#This Row],[Regular Taxes Owed]]-Table1[[#This Row],[Effective Child Tax Credit]],0)</f>
        <v>44119.5</v>
      </c>
      <c r="O527" s="1">
        <f>MAX(MIN((Table1[[#This Row],[taxable wages]]-3000)*0.15,1000*num_kids_16_younger),0)</f>
        <v>5000</v>
      </c>
      <c r="P527" s="9">
        <f>IF(Table1[[#This Row],[Effective Child Tax Credit]]&gt;Table1[[#This Row],[Regular Taxes Owed]],Table1[[#This Row],[Additional Child Tax Credit ]]-Table1[[#This Row],[Regular Taxes Owed]],0)</f>
        <v>0</v>
      </c>
      <c r="Q5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7" s="1">
        <f>Table1[[#This Row],[Effective Additional Child Tax Credit]]+Table1[[#This Row],[Eitc]]</f>
        <v>0</v>
      </c>
      <c r="S527" s="9">
        <f>Table1[[#This Row],[Regular Taxes Owed - Effective Child Tax Credit]]-Table1[[#This Row],[Total Credits]]</f>
        <v>44119.5</v>
      </c>
      <c r="T527" s="9">
        <f>Table1[[#This Row],[taxable wages]]+interest+dividends+short_term_capital_gains+long_term_capital_gains-(charitable_donations+mortgage_interest)</f>
        <v>245000</v>
      </c>
      <c r="U527" s="9">
        <f>MAX(amt_exemption-amt_exemption_phase_out_rate*MAX(Table1[[#This Row],[taxable wages]]-amt_phase_out_begins,0),0)</f>
        <v>62475</v>
      </c>
      <c r="V5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47456.5</v>
      </c>
      <c r="W527" s="1">
        <f>IF(AND(Table1[[#This Row],[AMT Taxes]]&gt;Table1[[#This Row],[Regular Taxes Owed]],Table1[[#This Row],[AMT Taxes]]&gt;0),Table1[[#This Row],[AMT Taxes]]-Table1[[#This Row],[Regular Taxes Owed]],0)</f>
        <v>3337</v>
      </c>
      <c r="X527" s="9">
        <f>Table1[[#This Row],[Extra Taxes From Amt]]+Table1[[#This Row],[Federal Taxes Owed (No AMT)]]</f>
        <v>47456.5</v>
      </c>
      <c r="Y527" s="9">
        <f>IF(Table1[[#This Row],[taxable wages]]&gt;obamacare_surcharge_amount,obamacare_surcharge_percent*(Table1[[#This Row],[taxable wages]]-obamacare_surcharge_amount),0)</f>
        <v>0</v>
      </c>
      <c r="Z527" s="9">
        <f>Table1[[#This Row],[Federal Taxes Owed (Includes AMT)]]+Table1[[#This Row],[Obamacare surcharge premium]]</f>
        <v>47456.5</v>
      </c>
      <c r="AA527" s="9">
        <f>Table1[[#This Row],[taxable wages]]-Table1[[#This Row],[Federal Taxes Owed2]]</f>
        <v>197543.5</v>
      </c>
      <c r="AB527" s="51">
        <f t="shared" si="46"/>
        <v>0.32500000000000001</v>
      </c>
      <c r="AC527" s="41"/>
      <c r="AD527" s="13"/>
      <c r="AE527" s="13"/>
    </row>
    <row r="528" spans="2:31" x14ac:dyDescent="0.3">
      <c r="B528" s="41">
        <f t="shared" si="47"/>
        <v>245500</v>
      </c>
      <c r="C528" s="1">
        <f>Table1[[#This Row],[taxable wages]]</f>
        <v>245500</v>
      </c>
      <c r="D528" s="1">
        <f>Table1[[#This Row],[taxable wages]]+interest+dividends+short_term_capital_gains+long_term_capital_gains</f>
        <v>245500</v>
      </c>
      <c r="E528" s="1">
        <f>MAX(Table1[[#This Row],[earned income for EITC]:[Agi For Eitc Calc]])</f>
        <v>245500</v>
      </c>
      <c r="F528" s="1">
        <f>Table1[[#This Row],[taxable wages]]+interest+dividends+short_term_capital_gains+long_term_capital_gains-(trad_ira_contributions+MIN(student_loan_interest_cap,student_loan_interest))</f>
        <v>245500</v>
      </c>
      <c r="G528" s="1">
        <f t="shared" si="43"/>
        <v>12600</v>
      </c>
      <c r="H528" s="1">
        <f t="shared" si="44"/>
        <v>28350</v>
      </c>
      <c r="I528" s="1">
        <f>MAX(0,Table1[[#This Row],[Agi]]-Table1[[#This Row],[Exemptions]]-Table1[[#This Row],[Effective Deductions]])</f>
        <v>204550</v>
      </c>
      <c r="J5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44259.5</v>
      </c>
      <c r="K528" s="1">
        <f t="shared" si="45"/>
        <v>5000</v>
      </c>
      <c r="L528" s="1">
        <f>IF(Table1[[#This Row],[Agi]]&gt;ctc_phase_out_begins,ctc_phase_out_rate*(Table1[[#This Row],[Agi]]-ctc_phase_out_begins),0)</f>
        <v>6775</v>
      </c>
      <c r="M528" s="1">
        <f>MAX(Table1[[#This Row],[Child Tax Credit]]-Table1[[#This Row],[Child Tax Credit Phase Out]],0)</f>
        <v>0</v>
      </c>
      <c r="N528" s="1">
        <f>MAX(Table1[[#This Row],[Regular Taxes Owed]]-Table1[[#This Row],[Effective Child Tax Credit]],0)</f>
        <v>44259.5</v>
      </c>
      <c r="O528" s="1">
        <f>MAX(MIN((Table1[[#This Row],[taxable wages]]-3000)*0.15,1000*num_kids_16_younger),0)</f>
        <v>5000</v>
      </c>
      <c r="P528" s="9">
        <f>IF(Table1[[#This Row],[Effective Child Tax Credit]]&gt;Table1[[#This Row],[Regular Taxes Owed]],Table1[[#This Row],[Additional Child Tax Credit ]]-Table1[[#This Row],[Regular Taxes Owed]],0)</f>
        <v>0</v>
      </c>
      <c r="Q5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8" s="1">
        <f>Table1[[#This Row],[Effective Additional Child Tax Credit]]+Table1[[#This Row],[Eitc]]</f>
        <v>0</v>
      </c>
      <c r="S528" s="9">
        <f>Table1[[#This Row],[Regular Taxes Owed - Effective Child Tax Credit]]-Table1[[#This Row],[Total Credits]]</f>
        <v>44259.5</v>
      </c>
      <c r="T528" s="9">
        <f>Table1[[#This Row],[taxable wages]]+interest+dividends+short_term_capital_gains+long_term_capital_gains-(charitable_donations+mortgage_interest)</f>
        <v>245500</v>
      </c>
      <c r="U528" s="9">
        <f>MAX(amt_exemption-amt_exemption_phase_out_rate*MAX(Table1[[#This Row],[taxable wages]]-amt_phase_out_begins,0),0)</f>
        <v>62350</v>
      </c>
      <c r="V5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47619</v>
      </c>
      <c r="W528" s="1">
        <f>IF(AND(Table1[[#This Row],[AMT Taxes]]&gt;Table1[[#This Row],[Regular Taxes Owed]],Table1[[#This Row],[AMT Taxes]]&gt;0),Table1[[#This Row],[AMT Taxes]]-Table1[[#This Row],[Regular Taxes Owed]],0)</f>
        <v>3359.5</v>
      </c>
      <c r="X528" s="9">
        <f>Table1[[#This Row],[Extra Taxes From Amt]]+Table1[[#This Row],[Federal Taxes Owed (No AMT)]]</f>
        <v>47619</v>
      </c>
      <c r="Y528" s="9">
        <f>IF(Table1[[#This Row],[taxable wages]]&gt;obamacare_surcharge_amount,obamacare_surcharge_percent*(Table1[[#This Row],[taxable wages]]-obamacare_surcharge_amount),0)</f>
        <v>0</v>
      </c>
      <c r="Z528" s="9">
        <f>Table1[[#This Row],[Federal Taxes Owed (Includes AMT)]]+Table1[[#This Row],[Obamacare surcharge premium]]</f>
        <v>47619</v>
      </c>
      <c r="AA528" s="9">
        <f>Table1[[#This Row],[taxable wages]]-Table1[[#This Row],[Federal Taxes Owed2]]</f>
        <v>197881</v>
      </c>
      <c r="AB528" s="51">
        <f t="shared" si="46"/>
        <v>0.32500000000000001</v>
      </c>
      <c r="AC528" s="41"/>
      <c r="AD528" s="13"/>
      <c r="AE528" s="13"/>
    </row>
    <row r="529" spans="2:31" x14ac:dyDescent="0.3">
      <c r="B529" s="41">
        <f t="shared" si="47"/>
        <v>246000</v>
      </c>
      <c r="C529" s="1">
        <f>Table1[[#This Row],[taxable wages]]</f>
        <v>246000</v>
      </c>
      <c r="D529" s="1">
        <f>Table1[[#This Row],[taxable wages]]+interest+dividends+short_term_capital_gains+long_term_capital_gains</f>
        <v>246000</v>
      </c>
      <c r="E529" s="1">
        <f>MAX(Table1[[#This Row],[earned income for EITC]:[Agi For Eitc Calc]])</f>
        <v>246000</v>
      </c>
      <c r="F529" s="1">
        <f>Table1[[#This Row],[taxable wages]]+interest+dividends+short_term_capital_gains+long_term_capital_gains-(trad_ira_contributions+MIN(student_loan_interest_cap,student_loan_interest))</f>
        <v>246000</v>
      </c>
      <c r="G529" s="1">
        <f t="shared" si="43"/>
        <v>12600</v>
      </c>
      <c r="H529" s="1">
        <f t="shared" si="44"/>
        <v>28350</v>
      </c>
      <c r="I529" s="1">
        <f>MAX(0,Table1[[#This Row],[Agi]]-Table1[[#This Row],[Exemptions]]-Table1[[#This Row],[Effective Deductions]])</f>
        <v>205050</v>
      </c>
      <c r="J5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44399.5</v>
      </c>
      <c r="K529" s="1">
        <f t="shared" si="45"/>
        <v>5000</v>
      </c>
      <c r="L529" s="1">
        <f>IF(Table1[[#This Row],[Agi]]&gt;ctc_phase_out_begins,ctc_phase_out_rate*(Table1[[#This Row],[Agi]]-ctc_phase_out_begins),0)</f>
        <v>6800</v>
      </c>
      <c r="M529" s="1">
        <f>MAX(Table1[[#This Row],[Child Tax Credit]]-Table1[[#This Row],[Child Tax Credit Phase Out]],0)</f>
        <v>0</v>
      </c>
      <c r="N529" s="1">
        <f>MAX(Table1[[#This Row],[Regular Taxes Owed]]-Table1[[#This Row],[Effective Child Tax Credit]],0)</f>
        <v>44399.5</v>
      </c>
      <c r="O529" s="1">
        <f>MAX(MIN((Table1[[#This Row],[taxable wages]]-3000)*0.15,1000*num_kids_16_younger),0)</f>
        <v>5000</v>
      </c>
      <c r="P529" s="9">
        <f>IF(Table1[[#This Row],[Effective Child Tax Credit]]&gt;Table1[[#This Row],[Regular Taxes Owed]],Table1[[#This Row],[Additional Child Tax Credit ]]-Table1[[#This Row],[Regular Taxes Owed]],0)</f>
        <v>0</v>
      </c>
      <c r="Q5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29" s="1">
        <f>Table1[[#This Row],[Effective Additional Child Tax Credit]]+Table1[[#This Row],[Eitc]]</f>
        <v>0</v>
      </c>
      <c r="S529" s="9">
        <f>Table1[[#This Row],[Regular Taxes Owed - Effective Child Tax Credit]]-Table1[[#This Row],[Total Credits]]</f>
        <v>44399.5</v>
      </c>
      <c r="T529" s="9">
        <f>Table1[[#This Row],[taxable wages]]+interest+dividends+short_term_capital_gains+long_term_capital_gains-(charitable_donations+mortgage_interest)</f>
        <v>246000</v>
      </c>
      <c r="U529" s="9">
        <f>MAX(amt_exemption-amt_exemption_phase_out_rate*MAX(Table1[[#This Row],[taxable wages]]-amt_phase_out_begins,0),0)</f>
        <v>62225</v>
      </c>
      <c r="V5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47781.5</v>
      </c>
      <c r="W529" s="1">
        <f>IF(AND(Table1[[#This Row],[AMT Taxes]]&gt;Table1[[#This Row],[Regular Taxes Owed]],Table1[[#This Row],[AMT Taxes]]&gt;0),Table1[[#This Row],[AMT Taxes]]-Table1[[#This Row],[Regular Taxes Owed]],0)</f>
        <v>3382</v>
      </c>
      <c r="X529" s="9">
        <f>Table1[[#This Row],[Extra Taxes From Amt]]+Table1[[#This Row],[Federal Taxes Owed (No AMT)]]</f>
        <v>47781.5</v>
      </c>
      <c r="Y529" s="9">
        <f>IF(Table1[[#This Row],[taxable wages]]&gt;obamacare_surcharge_amount,obamacare_surcharge_percent*(Table1[[#This Row],[taxable wages]]-obamacare_surcharge_amount),0)</f>
        <v>0</v>
      </c>
      <c r="Z529" s="9">
        <f>Table1[[#This Row],[Federal Taxes Owed (Includes AMT)]]+Table1[[#This Row],[Obamacare surcharge premium]]</f>
        <v>47781.5</v>
      </c>
      <c r="AA529" s="9">
        <f>Table1[[#This Row],[taxable wages]]-Table1[[#This Row],[Federal Taxes Owed2]]</f>
        <v>198218.5</v>
      </c>
      <c r="AB529" s="51">
        <f t="shared" si="46"/>
        <v>0.32500000000000001</v>
      </c>
      <c r="AC529" s="41"/>
      <c r="AD529" s="13"/>
      <c r="AE529" s="13"/>
    </row>
    <row r="530" spans="2:31" x14ac:dyDescent="0.3">
      <c r="B530" s="41">
        <f t="shared" si="47"/>
        <v>246500</v>
      </c>
      <c r="C530" s="1">
        <f>Table1[[#This Row],[taxable wages]]</f>
        <v>246500</v>
      </c>
      <c r="D530" s="1">
        <f>Table1[[#This Row],[taxable wages]]+interest+dividends+short_term_capital_gains+long_term_capital_gains</f>
        <v>246500</v>
      </c>
      <c r="E530" s="1">
        <f>MAX(Table1[[#This Row],[earned income for EITC]:[Agi For Eitc Calc]])</f>
        <v>246500</v>
      </c>
      <c r="F530" s="1">
        <f>Table1[[#This Row],[taxable wages]]+interest+dividends+short_term_capital_gains+long_term_capital_gains-(trad_ira_contributions+MIN(student_loan_interest_cap,student_loan_interest))</f>
        <v>246500</v>
      </c>
      <c r="G530" s="1">
        <f t="shared" si="43"/>
        <v>12600</v>
      </c>
      <c r="H530" s="1">
        <f t="shared" si="44"/>
        <v>28350</v>
      </c>
      <c r="I530" s="1">
        <f>MAX(0,Table1[[#This Row],[Agi]]-Table1[[#This Row],[Exemptions]]-Table1[[#This Row],[Effective Deductions]])</f>
        <v>205550</v>
      </c>
      <c r="J5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44539.5</v>
      </c>
      <c r="K530" s="1">
        <f t="shared" si="45"/>
        <v>5000</v>
      </c>
      <c r="L530" s="1">
        <f>IF(Table1[[#This Row],[Agi]]&gt;ctc_phase_out_begins,ctc_phase_out_rate*(Table1[[#This Row],[Agi]]-ctc_phase_out_begins),0)</f>
        <v>6825</v>
      </c>
      <c r="M530" s="1">
        <f>MAX(Table1[[#This Row],[Child Tax Credit]]-Table1[[#This Row],[Child Tax Credit Phase Out]],0)</f>
        <v>0</v>
      </c>
      <c r="N530" s="1">
        <f>MAX(Table1[[#This Row],[Regular Taxes Owed]]-Table1[[#This Row],[Effective Child Tax Credit]],0)</f>
        <v>44539.5</v>
      </c>
      <c r="O530" s="1">
        <f>MAX(MIN((Table1[[#This Row],[taxable wages]]-3000)*0.15,1000*num_kids_16_younger),0)</f>
        <v>5000</v>
      </c>
      <c r="P530" s="9">
        <f>IF(Table1[[#This Row],[Effective Child Tax Credit]]&gt;Table1[[#This Row],[Regular Taxes Owed]],Table1[[#This Row],[Additional Child Tax Credit ]]-Table1[[#This Row],[Regular Taxes Owed]],0)</f>
        <v>0</v>
      </c>
      <c r="Q5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0" s="1">
        <f>Table1[[#This Row],[Effective Additional Child Tax Credit]]+Table1[[#This Row],[Eitc]]</f>
        <v>0</v>
      </c>
      <c r="S530" s="9">
        <f>Table1[[#This Row],[Regular Taxes Owed - Effective Child Tax Credit]]-Table1[[#This Row],[Total Credits]]</f>
        <v>44539.5</v>
      </c>
      <c r="T530" s="9">
        <f>Table1[[#This Row],[taxable wages]]+interest+dividends+short_term_capital_gains+long_term_capital_gains-(charitable_donations+mortgage_interest)</f>
        <v>246500</v>
      </c>
      <c r="U530" s="9">
        <f>MAX(amt_exemption-amt_exemption_phase_out_rate*MAX(Table1[[#This Row],[taxable wages]]-amt_phase_out_begins,0),0)</f>
        <v>62100</v>
      </c>
      <c r="V5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47944</v>
      </c>
      <c r="W530" s="1">
        <f>IF(AND(Table1[[#This Row],[AMT Taxes]]&gt;Table1[[#This Row],[Regular Taxes Owed]],Table1[[#This Row],[AMT Taxes]]&gt;0),Table1[[#This Row],[AMT Taxes]]-Table1[[#This Row],[Regular Taxes Owed]],0)</f>
        <v>3404.5</v>
      </c>
      <c r="X530" s="9">
        <f>Table1[[#This Row],[Extra Taxes From Amt]]+Table1[[#This Row],[Federal Taxes Owed (No AMT)]]</f>
        <v>47944</v>
      </c>
      <c r="Y530" s="9">
        <f>IF(Table1[[#This Row],[taxable wages]]&gt;obamacare_surcharge_amount,obamacare_surcharge_percent*(Table1[[#This Row],[taxable wages]]-obamacare_surcharge_amount),0)</f>
        <v>0</v>
      </c>
      <c r="Z530" s="9">
        <f>Table1[[#This Row],[Federal Taxes Owed (Includes AMT)]]+Table1[[#This Row],[Obamacare surcharge premium]]</f>
        <v>47944</v>
      </c>
      <c r="AA530" s="9">
        <f>Table1[[#This Row],[taxable wages]]-Table1[[#This Row],[Federal Taxes Owed2]]</f>
        <v>198556</v>
      </c>
      <c r="AB530" s="51">
        <f t="shared" si="46"/>
        <v>0.32500000000000001</v>
      </c>
      <c r="AC530" s="41"/>
      <c r="AD530" s="13"/>
      <c r="AE530" s="13"/>
    </row>
    <row r="531" spans="2:31" x14ac:dyDescent="0.3">
      <c r="B531" s="41">
        <f t="shared" si="47"/>
        <v>247000</v>
      </c>
      <c r="C531" s="1">
        <f>Table1[[#This Row],[taxable wages]]</f>
        <v>247000</v>
      </c>
      <c r="D531" s="1">
        <f>Table1[[#This Row],[taxable wages]]+interest+dividends+short_term_capital_gains+long_term_capital_gains</f>
        <v>247000</v>
      </c>
      <c r="E531" s="1">
        <f>MAX(Table1[[#This Row],[earned income for EITC]:[Agi For Eitc Calc]])</f>
        <v>247000</v>
      </c>
      <c r="F531" s="1">
        <f>Table1[[#This Row],[taxable wages]]+interest+dividends+short_term_capital_gains+long_term_capital_gains-(trad_ira_contributions+MIN(student_loan_interest_cap,student_loan_interest))</f>
        <v>247000</v>
      </c>
      <c r="G531" s="1">
        <f t="shared" si="43"/>
        <v>12600</v>
      </c>
      <c r="H531" s="1">
        <f t="shared" si="44"/>
        <v>28350</v>
      </c>
      <c r="I531" s="1">
        <f>MAX(0,Table1[[#This Row],[Agi]]-Table1[[#This Row],[Exemptions]]-Table1[[#This Row],[Effective Deductions]])</f>
        <v>206050</v>
      </c>
      <c r="J5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44679.5</v>
      </c>
      <c r="K531" s="1">
        <f t="shared" si="45"/>
        <v>5000</v>
      </c>
      <c r="L531" s="1">
        <f>IF(Table1[[#This Row],[Agi]]&gt;ctc_phase_out_begins,ctc_phase_out_rate*(Table1[[#This Row],[Agi]]-ctc_phase_out_begins),0)</f>
        <v>6850</v>
      </c>
      <c r="M531" s="1">
        <f>MAX(Table1[[#This Row],[Child Tax Credit]]-Table1[[#This Row],[Child Tax Credit Phase Out]],0)</f>
        <v>0</v>
      </c>
      <c r="N531" s="1">
        <f>MAX(Table1[[#This Row],[Regular Taxes Owed]]-Table1[[#This Row],[Effective Child Tax Credit]],0)</f>
        <v>44679.5</v>
      </c>
      <c r="O531" s="1">
        <f>MAX(MIN((Table1[[#This Row],[taxable wages]]-3000)*0.15,1000*num_kids_16_younger),0)</f>
        <v>5000</v>
      </c>
      <c r="P531" s="9">
        <f>IF(Table1[[#This Row],[Effective Child Tax Credit]]&gt;Table1[[#This Row],[Regular Taxes Owed]],Table1[[#This Row],[Additional Child Tax Credit ]]-Table1[[#This Row],[Regular Taxes Owed]],0)</f>
        <v>0</v>
      </c>
      <c r="Q5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1" s="1">
        <f>Table1[[#This Row],[Effective Additional Child Tax Credit]]+Table1[[#This Row],[Eitc]]</f>
        <v>0</v>
      </c>
      <c r="S531" s="9">
        <f>Table1[[#This Row],[Regular Taxes Owed - Effective Child Tax Credit]]-Table1[[#This Row],[Total Credits]]</f>
        <v>44679.5</v>
      </c>
      <c r="T531" s="9">
        <f>Table1[[#This Row],[taxable wages]]+interest+dividends+short_term_capital_gains+long_term_capital_gains-(charitable_donations+mortgage_interest)</f>
        <v>247000</v>
      </c>
      <c r="U531" s="9">
        <f>MAX(amt_exemption-amt_exemption_phase_out_rate*MAX(Table1[[#This Row],[taxable wages]]-amt_phase_out_begins,0),0)</f>
        <v>61975</v>
      </c>
      <c r="V5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48106.5</v>
      </c>
      <c r="W531" s="1">
        <f>IF(AND(Table1[[#This Row],[AMT Taxes]]&gt;Table1[[#This Row],[Regular Taxes Owed]],Table1[[#This Row],[AMT Taxes]]&gt;0),Table1[[#This Row],[AMT Taxes]]-Table1[[#This Row],[Regular Taxes Owed]],0)</f>
        <v>3427</v>
      </c>
      <c r="X531" s="9">
        <f>Table1[[#This Row],[Extra Taxes From Amt]]+Table1[[#This Row],[Federal Taxes Owed (No AMT)]]</f>
        <v>48106.5</v>
      </c>
      <c r="Y531" s="9">
        <f>IF(Table1[[#This Row],[taxable wages]]&gt;obamacare_surcharge_amount,obamacare_surcharge_percent*(Table1[[#This Row],[taxable wages]]-obamacare_surcharge_amount),0)</f>
        <v>0</v>
      </c>
      <c r="Z531" s="9">
        <f>Table1[[#This Row],[Federal Taxes Owed (Includes AMT)]]+Table1[[#This Row],[Obamacare surcharge premium]]</f>
        <v>48106.5</v>
      </c>
      <c r="AA531" s="9">
        <f>Table1[[#This Row],[taxable wages]]-Table1[[#This Row],[Federal Taxes Owed2]]</f>
        <v>198893.5</v>
      </c>
      <c r="AB531" s="51">
        <f t="shared" si="46"/>
        <v>0.32500000000000001</v>
      </c>
      <c r="AC531" s="41"/>
      <c r="AD531" s="13"/>
      <c r="AE531" s="13"/>
    </row>
    <row r="532" spans="2:31" x14ac:dyDescent="0.3">
      <c r="B532" s="41">
        <f t="shared" si="47"/>
        <v>247500</v>
      </c>
      <c r="C532" s="1">
        <f>Table1[[#This Row],[taxable wages]]</f>
        <v>247500</v>
      </c>
      <c r="D532" s="1">
        <f>Table1[[#This Row],[taxable wages]]+interest+dividends+short_term_capital_gains+long_term_capital_gains</f>
        <v>247500</v>
      </c>
      <c r="E532" s="1">
        <f>MAX(Table1[[#This Row],[earned income for EITC]:[Agi For Eitc Calc]])</f>
        <v>247500</v>
      </c>
      <c r="F532" s="1">
        <f>Table1[[#This Row],[taxable wages]]+interest+dividends+short_term_capital_gains+long_term_capital_gains-(trad_ira_contributions+MIN(student_loan_interest_cap,student_loan_interest))</f>
        <v>247500</v>
      </c>
      <c r="G532" s="1">
        <f t="shared" si="43"/>
        <v>12600</v>
      </c>
      <c r="H532" s="1">
        <f t="shared" si="44"/>
        <v>28350</v>
      </c>
      <c r="I532" s="1">
        <f>MAX(0,Table1[[#This Row],[Agi]]-Table1[[#This Row],[Exemptions]]-Table1[[#This Row],[Effective Deductions]])</f>
        <v>206550</v>
      </c>
      <c r="J5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44819.5</v>
      </c>
      <c r="K532" s="1">
        <f t="shared" si="45"/>
        <v>5000</v>
      </c>
      <c r="L532" s="1">
        <f>IF(Table1[[#This Row],[Agi]]&gt;ctc_phase_out_begins,ctc_phase_out_rate*(Table1[[#This Row],[Agi]]-ctc_phase_out_begins),0)</f>
        <v>6875</v>
      </c>
      <c r="M532" s="1">
        <f>MAX(Table1[[#This Row],[Child Tax Credit]]-Table1[[#This Row],[Child Tax Credit Phase Out]],0)</f>
        <v>0</v>
      </c>
      <c r="N532" s="1">
        <f>MAX(Table1[[#This Row],[Regular Taxes Owed]]-Table1[[#This Row],[Effective Child Tax Credit]],0)</f>
        <v>44819.5</v>
      </c>
      <c r="O532" s="1">
        <f>MAX(MIN((Table1[[#This Row],[taxable wages]]-3000)*0.15,1000*num_kids_16_younger),0)</f>
        <v>5000</v>
      </c>
      <c r="P532" s="9">
        <f>IF(Table1[[#This Row],[Effective Child Tax Credit]]&gt;Table1[[#This Row],[Regular Taxes Owed]],Table1[[#This Row],[Additional Child Tax Credit ]]-Table1[[#This Row],[Regular Taxes Owed]],0)</f>
        <v>0</v>
      </c>
      <c r="Q5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2" s="1">
        <f>Table1[[#This Row],[Effective Additional Child Tax Credit]]+Table1[[#This Row],[Eitc]]</f>
        <v>0</v>
      </c>
      <c r="S532" s="9">
        <f>Table1[[#This Row],[Regular Taxes Owed - Effective Child Tax Credit]]-Table1[[#This Row],[Total Credits]]</f>
        <v>44819.5</v>
      </c>
      <c r="T532" s="9">
        <f>Table1[[#This Row],[taxable wages]]+interest+dividends+short_term_capital_gains+long_term_capital_gains-(charitable_donations+mortgage_interest)</f>
        <v>247500</v>
      </c>
      <c r="U532" s="9">
        <f>MAX(amt_exemption-amt_exemption_phase_out_rate*MAX(Table1[[#This Row],[taxable wages]]-amt_phase_out_begins,0),0)</f>
        <v>61850</v>
      </c>
      <c r="V5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48269</v>
      </c>
      <c r="W532" s="1">
        <f>IF(AND(Table1[[#This Row],[AMT Taxes]]&gt;Table1[[#This Row],[Regular Taxes Owed]],Table1[[#This Row],[AMT Taxes]]&gt;0),Table1[[#This Row],[AMT Taxes]]-Table1[[#This Row],[Regular Taxes Owed]],0)</f>
        <v>3449.5</v>
      </c>
      <c r="X532" s="9">
        <f>Table1[[#This Row],[Extra Taxes From Amt]]+Table1[[#This Row],[Federal Taxes Owed (No AMT)]]</f>
        <v>48269</v>
      </c>
      <c r="Y532" s="9">
        <f>IF(Table1[[#This Row],[taxable wages]]&gt;obamacare_surcharge_amount,obamacare_surcharge_percent*(Table1[[#This Row],[taxable wages]]-obamacare_surcharge_amount),0)</f>
        <v>0</v>
      </c>
      <c r="Z532" s="9">
        <f>Table1[[#This Row],[Federal Taxes Owed (Includes AMT)]]+Table1[[#This Row],[Obamacare surcharge premium]]</f>
        <v>48269</v>
      </c>
      <c r="AA532" s="9">
        <f>Table1[[#This Row],[taxable wages]]-Table1[[#This Row],[Federal Taxes Owed2]]</f>
        <v>199231</v>
      </c>
      <c r="AB532" s="51">
        <f t="shared" si="46"/>
        <v>0.32500000000000001</v>
      </c>
      <c r="AC532" s="41"/>
      <c r="AD532" s="13"/>
      <c r="AE532" s="13"/>
    </row>
    <row r="533" spans="2:31" x14ac:dyDescent="0.3">
      <c r="B533" s="41">
        <f t="shared" si="47"/>
        <v>248000</v>
      </c>
      <c r="C533" s="1">
        <f>Table1[[#This Row],[taxable wages]]</f>
        <v>248000</v>
      </c>
      <c r="D533" s="1">
        <f>Table1[[#This Row],[taxable wages]]+interest+dividends+short_term_capital_gains+long_term_capital_gains</f>
        <v>248000</v>
      </c>
      <c r="E533" s="1">
        <f>MAX(Table1[[#This Row],[earned income for EITC]:[Agi For Eitc Calc]])</f>
        <v>248000</v>
      </c>
      <c r="F533" s="1">
        <f>Table1[[#This Row],[taxable wages]]+interest+dividends+short_term_capital_gains+long_term_capital_gains-(trad_ira_contributions+MIN(student_loan_interest_cap,student_loan_interest))</f>
        <v>248000</v>
      </c>
      <c r="G533" s="1">
        <f t="shared" si="43"/>
        <v>12600</v>
      </c>
      <c r="H533" s="1">
        <f t="shared" si="44"/>
        <v>28350</v>
      </c>
      <c r="I533" s="1">
        <f>MAX(0,Table1[[#This Row],[Agi]]-Table1[[#This Row],[Exemptions]]-Table1[[#This Row],[Effective Deductions]])</f>
        <v>207050</v>
      </c>
      <c r="J5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44959.5</v>
      </c>
      <c r="K533" s="1">
        <f t="shared" si="45"/>
        <v>5000</v>
      </c>
      <c r="L533" s="1">
        <f>IF(Table1[[#This Row],[Agi]]&gt;ctc_phase_out_begins,ctc_phase_out_rate*(Table1[[#This Row],[Agi]]-ctc_phase_out_begins),0)</f>
        <v>6900</v>
      </c>
      <c r="M533" s="1">
        <f>MAX(Table1[[#This Row],[Child Tax Credit]]-Table1[[#This Row],[Child Tax Credit Phase Out]],0)</f>
        <v>0</v>
      </c>
      <c r="N533" s="1">
        <f>MAX(Table1[[#This Row],[Regular Taxes Owed]]-Table1[[#This Row],[Effective Child Tax Credit]],0)</f>
        <v>44959.5</v>
      </c>
      <c r="O533" s="1">
        <f>MAX(MIN((Table1[[#This Row],[taxable wages]]-3000)*0.15,1000*num_kids_16_younger),0)</f>
        <v>5000</v>
      </c>
      <c r="P533" s="9">
        <f>IF(Table1[[#This Row],[Effective Child Tax Credit]]&gt;Table1[[#This Row],[Regular Taxes Owed]],Table1[[#This Row],[Additional Child Tax Credit ]]-Table1[[#This Row],[Regular Taxes Owed]],0)</f>
        <v>0</v>
      </c>
      <c r="Q5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3" s="1">
        <f>Table1[[#This Row],[Effective Additional Child Tax Credit]]+Table1[[#This Row],[Eitc]]</f>
        <v>0</v>
      </c>
      <c r="S533" s="9">
        <f>Table1[[#This Row],[Regular Taxes Owed - Effective Child Tax Credit]]-Table1[[#This Row],[Total Credits]]</f>
        <v>44959.5</v>
      </c>
      <c r="T533" s="9">
        <f>Table1[[#This Row],[taxable wages]]+interest+dividends+short_term_capital_gains+long_term_capital_gains-(charitable_donations+mortgage_interest)</f>
        <v>248000</v>
      </c>
      <c r="U533" s="9">
        <f>MAX(amt_exemption-amt_exemption_phase_out_rate*MAX(Table1[[#This Row],[taxable wages]]-amt_phase_out_begins,0),0)</f>
        <v>61725</v>
      </c>
      <c r="V5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48431.5</v>
      </c>
      <c r="W533" s="1">
        <f>IF(AND(Table1[[#This Row],[AMT Taxes]]&gt;Table1[[#This Row],[Regular Taxes Owed]],Table1[[#This Row],[AMT Taxes]]&gt;0),Table1[[#This Row],[AMT Taxes]]-Table1[[#This Row],[Regular Taxes Owed]],0)</f>
        <v>3472</v>
      </c>
      <c r="X533" s="9">
        <f>Table1[[#This Row],[Extra Taxes From Amt]]+Table1[[#This Row],[Federal Taxes Owed (No AMT)]]</f>
        <v>48431.5</v>
      </c>
      <c r="Y533" s="9">
        <f>IF(Table1[[#This Row],[taxable wages]]&gt;obamacare_surcharge_amount,obamacare_surcharge_percent*(Table1[[#This Row],[taxable wages]]-obamacare_surcharge_amount),0)</f>
        <v>0</v>
      </c>
      <c r="Z533" s="9">
        <f>Table1[[#This Row],[Federal Taxes Owed (Includes AMT)]]+Table1[[#This Row],[Obamacare surcharge premium]]</f>
        <v>48431.5</v>
      </c>
      <c r="AA533" s="9">
        <f>Table1[[#This Row],[taxable wages]]-Table1[[#This Row],[Federal Taxes Owed2]]</f>
        <v>199568.5</v>
      </c>
      <c r="AB533" s="51">
        <f t="shared" si="46"/>
        <v>0.32500000000000001</v>
      </c>
      <c r="AC533" s="41"/>
      <c r="AD533" s="13"/>
      <c r="AE533" s="13"/>
    </row>
    <row r="534" spans="2:31" x14ac:dyDescent="0.3">
      <c r="B534" s="41">
        <f t="shared" si="47"/>
        <v>248500</v>
      </c>
      <c r="C534" s="1">
        <f>Table1[[#This Row],[taxable wages]]</f>
        <v>248500</v>
      </c>
      <c r="D534" s="1">
        <f>Table1[[#This Row],[taxable wages]]+interest+dividends+short_term_capital_gains+long_term_capital_gains</f>
        <v>248500</v>
      </c>
      <c r="E534" s="1">
        <f>MAX(Table1[[#This Row],[earned income for EITC]:[Agi For Eitc Calc]])</f>
        <v>248500</v>
      </c>
      <c r="F534" s="1">
        <f>Table1[[#This Row],[taxable wages]]+interest+dividends+short_term_capital_gains+long_term_capital_gains-(trad_ira_contributions+MIN(student_loan_interest_cap,student_loan_interest))</f>
        <v>248500</v>
      </c>
      <c r="G534" s="1">
        <f t="shared" si="43"/>
        <v>12600</v>
      </c>
      <c r="H534" s="1">
        <f t="shared" si="44"/>
        <v>28350</v>
      </c>
      <c r="I534" s="1">
        <f>MAX(0,Table1[[#This Row],[Agi]]-Table1[[#This Row],[Exemptions]]-Table1[[#This Row],[Effective Deductions]])</f>
        <v>207550</v>
      </c>
      <c r="J5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45099.5</v>
      </c>
      <c r="K534" s="1">
        <f t="shared" si="45"/>
        <v>5000</v>
      </c>
      <c r="L534" s="1">
        <f>IF(Table1[[#This Row],[Agi]]&gt;ctc_phase_out_begins,ctc_phase_out_rate*(Table1[[#This Row],[Agi]]-ctc_phase_out_begins),0)</f>
        <v>6925</v>
      </c>
      <c r="M534" s="1">
        <f>MAX(Table1[[#This Row],[Child Tax Credit]]-Table1[[#This Row],[Child Tax Credit Phase Out]],0)</f>
        <v>0</v>
      </c>
      <c r="N534" s="1">
        <f>MAX(Table1[[#This Row],[Regular Taxes Owed]]-Table1[[#This Row],[Effective Child Tax Credit]],0)</f>
        <v>45099.5</v>
      </c>
      <c r="O534" s="1">
        <f>MAX(MIN((Table1[[#This Row],[taxable wages]]-3000)*0.15,1000*num_kids_16_younger),0)</f>
        <v>5000</v>
      </c>
      <c r="P534" s="9">
        <f>IF(Table1[[#This Row],[Effective Child Tax Credit]]&gt;Table1[[#This Row],[Regular Taxes Owed]],Table1[[#This Row],[Additional Child Tax Credit ]]-Table1[[#This Row],[Regular Taxes Owed]],0)</f>
        <v>0</v>
      </c>
      <c r="Q5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4" s="1">
        <f>Table1[[#This Row],[Effective Additional Child Tax Credit]]+Table1[[#This Row],[Eitc]]</f>
        <v>0</v>
      </c>
      <c r="S534" s="9">
        <f>Table1[[#This Row],[Regular Taxes Owed - Effective Child Tax Credit]]-Table1[[#This Row],[Total Credits]]</f>
        <v>45099.5</v>
      </c>
      <c r="T534" s="9">
        <f>Table1[[#This Row],[taxable wages]]+interest+dividends+short_term_capital_gains+long_term_capital_gains-(charitable_donations+mortgage_interest)</f>
        <v>248500</v>
      </c>
      <c r="U534" s="9">
        <f>MAX(amt_exemption-amt_exemption_phase_out_rate*MAX(Table1[[#This Row],[taxable wages]]-amt_phase_out_begins,0),0)</f>
        <v>61600</v>
      </c>
      <c r="V5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48606</v>
      </c>
      <c r="W534" s="1">
        <f>IF(AND(Table1[[#This Row],[AMT Taxes]]&gt;Table1[[#This Row],[Regular Taxes Owed]],Table1[[#This Row],[AMT Taxes]]&gt;0),Table1[[#This Row],[AMT Taxes]]-Table1[[#This Row],[Regular Taxes Owed]],0)</f>
        <v>3506.5</v>
      </c>
      <c r="X534" s="9">
        <f>Table1[[#This Row],[Extra Taxes From Amt]]+Table1[[#This Row],[Federal Taxes Owed (No AMT)]]</f>
        <v>48606</v>
      </c>
      <c r="Y534" s="9">
        <f>IF(Table1[[#This Row],[taxable wages]]&gt;obamacare_surcharge_amount,obamacare_surcharge_percent*(Table1[[#This Row],[taxable wages]]-obamacare_surcharge_amount),0)</f>
        <v>0</v>
      </c>
      <c r="Z534" s="9">
        <f>Table1[[#This Row],[Federal Taxes Owed (Includes AMT)]]+Table1[[#This Row],[Obamacare surcharge premium]]</f>
        <v>48606</v>
      </c>
      <c r="AA534" s="9">
        <f>Table1[[#This Row],[taxable wages]]-Table1[[#This Row],[Federal Taxes Owed2]]</f>
        <v>199894</v>
      </c>
      <c r="AB534" s="51">
        <f t="shared" si="46"/>
        <v>0.34899999999999998</v>
      </c>
      <c r="AC534" s="41"/>
      <c r="AD534" s="13"/>
      <c r="AE534" s="13"/>
    </row>
    <row r="535" spans="2:31" x14ac:dyDescent="0.3">
      <c r="B535" s="41">
        <f t="shared" si="47"/>
        <v>249000</v>
      </c>
      <c r="C535" s="1">
        <f>Table1[[#This Row],[taxable wages]]</f>
        <v>249000</v>
      </c>
      <c r="D535" s="1">
        <f>Table1[[#This Row],[taxable wages]]+interest+dividends+short_term_capital_gains+long_term_capital_gains</f>
        <v>249000</v>
      </c>
      <c r="E535" s="1">
        <f>MAX(Table1[[#This Row],[earned income for EITC]:[Agi For Eitc Calc]])</f>
        <v>249000</v>
      </c>
      <c r="F535" s="1">
        <f>Table1[[#This Row],[taxable wages]]+interest+dividends+short_term_capital_gains+long_term_capital_gains-(trad_ira_contributions+MIN(student_loan_interest_cap,student_loan_interest))</f>
        <v>249000</v>
      </c>
      <c r="G535" s="1">
        <f t="shared" si="43"/>
        <v>12600</v>
      </c>
      <c r="H535" s="1">
        <f t="shared" si="44"/>
        <v>28350</v>
      </c>
      <c r="I535" s="1">
        <f>MAX(0,Table1[[#This Row],[Agi]]-Table1[[#This Row],[Exemptions]]-Table1[[#This Row],[Effective Deductions]])</f>
        <v>208050</v>
      </c>
      <c r="J5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45239.5</v>
      </c>
      <c r="K535" s="1">
        <f t="shared" si="45"/>
        <v>5000</v>
      </c>
      <c r="L535" s="1">
        <f>IF(Table1[[#This Row],[Agi]]&gt;ctc_phase_out_begins,ctc_phase_out_rate*(Table1[[#This Row],[Agi]]-ctc_phase_out_begins),0)</f>
        <v>6950</v>
      </c>
      <c r="M535" s="1">
        <f>MAX(Table1[[#This Row],[Child Tax Credit]]-Table1[[#This Row],[Child Tax Credit Phase Out]],0)</f>
        <v>0</v>
      </c>
      <c r="N535" s="1">
        <f>MAX(Table1[[#This Row],[Regular Taxes Owed]]-Table1[[#This Row],[Effective Child Tax Credit]],0)</f>
        <v>45239.5</v>
      </c>
      <c r="O535" s="1">
        <f>MAX(MIN((Table1[[#This Row],[taxable wages]]-3000)*0.15,1000*num_kids_16_younger),0)</f>
        <v>5000</v>
      </c>
      <c r="P535" s="9">
        <f>IF(Table1[[#This Row],[Effective Child Tax Credit]]&gt;Table1[[#This Row],[Regular Taxes Owed]],Table1[[#This Row],[Additional Child Tax Credit ]]-Table1[[#This Row],[Regular Taxes Owed]],0)</f>
        <v>0</v>
      </c>
      <c r="Q5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5" s="1">
        <f>Table1[[#This Row],[Effective Additional Child Tax Credit]]+Table1[[#This Row],[Eitc]]</f>
        <v>0</v>
      </c>
      <c r="S535" s="9">
        <f>Table1[[#This Row],[Regular Taxes Owed - Effective Child Tax Credit]]-Table1[[#This Row],[Total Credits]]</f>
        <v>45239.5</v>
      </c>
      <c r="T535" s="9">
        <f>Table1[[#This Row],[taxable wages]]+interest+dividends+short_term_capital_gains+long_term_capital_gains-(charitable_donations+mortgage_interest)</f>
        <v>249000</v>
      </c>
      <c r="U535" s="9">
        <f>MAX(amt_exemption-amt_exemption_phase_out_rate*MAX(Table1[[#This Row],[taxable wages]]-amt_phase_out_begins,0),0)</f>
        <v>61475</v>
      </c>
      <c r="V5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48781</v>
      </c>
      <c r="W535" s="1">
        <f>IF(AND(Table1[[#This Row],[AMT Taxes]]&gt;Table1[[#This Row],[Regular Taxes Owed]],Table1[[#This Row],[AMT Taxes]]&gt;0),Table1[[#This Row],[AMT Taxes]]-Table1[[#This Row],[Regular Taxes Owed]],0)</f>
        <v>3541.5</v>
      </c>
      <c r="X535" s="9">
        <f>Table1[[#This Row],[Extra Taxes From Amt]]+Table1[[#This Row],[Federal Taxes Owed (No AMT)]]</f>
        <v>48781</v>
      </c>
      <c r="Y535" s="9">
        <f>IF(Table1[[#This Row],[taxable wages]]&gt;obamacare_surcharge_amount,obamacare_surcharge_percent*(Table1[[#This Row],[taxable wages]]-obamacare_surcharge_amount),0)</f>
        <v>0</v>
      </c>
      <c r="Z535" s="9">
        <f>Table1[[#This Row],[Federal Taxes Owed (Includes AMT)]]+Table1[[#This Row],[Obamacare surcharge premium]]</f>
        <v>48781</v>
      </c>
      <c r="AA535" s="9">
        <f>Table1[[#This Row],[taxable wages]]-Table1[[#This Row],[Federal Taxes Owed2]]</f>
        <v>200219</v>
      </c>
      <c r="AB535" s="51">
        <f t="shared" si="46"/>
        <v>0.35</v>
      </c>
      <c r="AC535" s="41"/>
      <c r="AD535" s="13"/>
      <c r="AE535" s="13"/>
    </row>
    <row r="536" spans="2:31" x14ac:dyDescent="0.3">
      <c r="B536" s="41">
        <f t="shared" si="47"/>
        <v>249500</v>
      </c>
      <c r="C536" s="1">
        <f>Table1[[#This Row],[taxable wages]]</f>
        <v>249500</v>
      </c>
      <c r="D536" s="1">
        <f>Table1[[#This Row],[taxable wages]]+interest+dividends+short_term_capital_gains+long_term_capital_gains</f>
        <v>249500</v>
      </c>
      <c r="E536" s="1">
        <f>MAX(Table1[[#This Row],[earned income for EITC]:[Agi For Eitc Calc]])</f>
        <v>249500</v>
      </c>
      <c r="F536" s="1">
        <f>Table1[[#This Row],[taxable wages]]+interest+dividends+short_term_capital_gains+long_term_capital_gains-(trad_ira_contributions+MIN(student_loan_interest_cap,student_loan_interest))</f>
        <v>249500</v>
      </c>
      <c r="G536" s="1">
        <f t="shared" si="43"/>
        <v>12600</v>
      </c>
      <c r="H536" s="1">
        <f t="shared" si="44"/>
        <v>28350</v>
      </c>
      <c r="I536" s="1">
        <f>MAX(0,Table1[[#This Row],[Agi]]-Table1[[#This Row],[Exemptions]]-Table1[[#This Row],[Effective Deductions]])</f>
        <v>208550</v>
      </c>
      <c r="J5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45379.5</v>
      </c>
      <c r="K536" s="1">
        <f t="shared" si="45"/>
        <v>5000</v>
      </c>
      <c r="L536" s="1">
        <f>IF(Table1[[#This Row],[Agi]]&gt;ctc_phase_out_begins,ctc_phase_out_rate*(Table1[[#This Row],[Agi]]-ctc_phase_out_begins),0)</f>
        <v>6975</v>
      </c>
      <c r="M536" s="1">
        <f>MAX(Table1[[#This Row],[Child Tax Credit]]-Table1[[#This Row],[Child Tax Credit Phase Out]],0)</f>
        <v>0</v>
      </c>
      <c r="N536" s="1">
        <f>MAX(Table1[[#This Row],[Regular Taxes Owed]]-Table1[[#This Row],[Effective Child Tax Credit]],0)</f>
        <v>45379.5</v>
      </c>
      <c r="O536" s="1">
        <f>MAX(MIN((Table1[[#This Row],[taxable wages]]-3000)*0.15,1000*num_kids_16_younger),0)</f>
        <v>5000</v>
      </c>
      <c r="P536" s="9">
        <f>IF(Table1[[#This Row],[Effective Child Tax Credit]]&gt;Table1[[#This Row],[Regular Taxes Owed]],Table1[[#This Row],[Additional Child Tax Credit ]]-Table1[[#This Row],[Regular Taxes Owed]],0)</f>
        <v>0</v>
      </c>
      <c r="Q5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6" s="1">
        <f>Table1[[#This Row],[Effective Additional Child Tax Credit]]+Table1[[#This Row],[Eitc]]</f>
        <v>0</v>
      </c>
      <c r="S536" s="9">
        <f>Table1[[#This Row],[Regular Taxes Owed - Effective Child Tax Credit]]-Table1[[#This Row],[Total Credits]]</f>
        <v>45379.5</v>
      </c>
      <c r="T536" s="9">
        <f>Table1[[#This Row],[taxable wages]]+interest+dividends+short_term_capital_gains+long_term_capital_gains-(charitable_donations+mortgage_interest)</f>
        <v>249500</v>
      </c>
      <c r="U536" s="9">
        <f>MAX(amt_exemption-amt_exemption_phase_out_rate*MAX(Table1[[#This Row],[taxable wages]]-amt_phase_out_begins,0),0)</f>
        <v>61350</v>
      </c>
      <c r="V5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48956</v>
      </c>
      <c r="W536" s="1">
        <f>IF(AND(Table1[[#This Row],[AMT Taxes]]&gt;Table1[[#This Row],[Regular Taxes Owed]],Table1[[#This Row],[AMT Taxes]]&gt;0),Table1[[#This Row],[AMT Taxes]]-Table1[[#This Row],[Regular Taxes Owed]],0)</f>
        <v>3576.5</v>
      </c>
      <c r="X536" s="9">
        <f>Table1[[#This Row],[Extra Taxes From Amt]]+Table1[[#This Row],[Federal Taxes Owed (No AMT)]]</f>
        <v>48956</v>
      </c>
      <c r="Y536" s="9">
        <f>IF(Table1[[#This Row],[taxable wages]]&gt;obamacare_surcharge_amount,obamacare_surcharge_percent*(Table1[[#This Row],[taxable wages]]-obamacare_surcharge_amount),0)</f>
        <v>0</v>
      </c>
      <c r="Z536" s="9">
        <f>Table1[[#This Row],[Federal Taxes Owed (Includes AMT)]]+Table1[[#This Row],[Obamacare surcharge premium]]</f>
        <v>48956</v>
      </c>
      <c r="AA536" s="9">
        <f>Table1[[#This Row],[taxable wages]]-Table1[[#This Row],[Federal Taxes Owed2]]</f>
        <v>200544</v>
      </c>
      <c r="AB536" s="51">
        <f t="shared" si="46"/>
        <v>0.35</v>
      </c>
      <c r="AC536" s="41"/>
      <c r="AD536" s="13"/>
      <c r="AE536" s="13"/>
    </row>
    <row r="537" spans="2:31" x14ac:dyDescent="0.3">
      <c r="B537" s="41">
        <f t="shared" si="47"/>
        <v>250000</v>
      </c>
      <c r="C537" s="1">
        <f>Table1[[#This Row],[taxable wages]]</f>
        <v>250000</v>
      </c>
      <c r="D537" s="1">
        <f>Table1[[#This Row],[taxable wages]]+interest+dividends+short_term_capital_gains+long_term_capital_gains</f>
        <v>250000</v>
      </c>
      <c r="E537" s="1">
        <f>MAX(Table1[[#This Row],[earned income for EITC]:[Agi For Eitc Calc]])</f>
        <v>250000</v>
      </c>
      <c r="F537" s="1">
        <f>Table1[[#This Row],[taxable wages]]+interest+dividends+short_term_capital_gains+long_term_capital_gains-(trad_ira_contributions+MIN(student_loan_interest_cap,student_loan_interest))</f>
        <v>250000</v>
      </c>
      <c r="G537" s="1">
        <f t="shared" si="43"/>
        <v>12600</v>
      </c>
      <c r="H537" s="1">
        <f t="shared" si="44"/>
        <v>28350</v>
      </c>
      <c r="I537" s="1">
        <f>MAX(0,Table1[[#This Row],[Agi]]-Table1[[#This Row],[Exemptions]]-Table1[[#This Row],[Effective Deductions]])</f>
        <v>209050</v>
      </c>
      <c r="J5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45519.5</v>
      </c>
      <c r="K537" s="1">
        <f t="shared" si="45"/>
        <v>5000</v>
      </c>
      <c r="L537" s="1">
        <f>IF(Table1[[#This Row],[Agi]]&gt;ctc_phase_out_begins,ctc_phase_out_rate*(Table1[[#This Row],[Agi]]-ctc_phase_out_begins),0)</f>
        <v>7000</v>
      </c>
      <c r="M537" s="1">
        <f>MAX(Table1[[#This Row],[Child Tax Credit]]-Table1[[#This Row],[Child Tax Credit Phase Out]],0)</f>
        <v>0</v>
      </c>
      <c r="N537" s="1">
        <f>MAX(Table1[[#This Row],[Regular Taxes Owed]]-Table1[[#This Row],[Effective Child Tax Credit]],0)</f>
        <v>45519.5</v>
      </c>
      <c r="O537" s="1">
        <f>MAX(MIN((Table1[[#This Row],[taxable wages]]-3000)*0.15,1000*num_kids_16_younger),0)</f>
        <v>5000</v>
      </c>
      <c r="P537" s="9">
        <f>IF(Table1[[#This Row],[Effective Child Tax Credit]]&gt;Table1[[#This Row],[Regular Taxes Owed]],Table1[[#This Row],[Additional Child Tax Credit ]]-Table1[[#This Row],[Regular Taxes Owed]],0)</f>
        <v>0</v>
      </c>
      <c r="Q5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7" s="1">
        <f>Table1[[#This Row],[Effective Additional Child Tax Credit]]+Table1[[#This Row],[Eitc]]</f>
        <v>0</v>
      </c>
      <c r="S537" s="9">
        <f>Table1[[#This Row],[Regular Taxes Owed - Effective Child Tax Credit]]-Table1[[#This Row],[Total Credits]]</f>
        <v>45519.5</v>
      </c>
      <c r="T537" s="9">
        <f>Table1[[#This Row],[taxable wages]]+interest+dividends+short_term_capital_gains+long_term_capital_gains-(charitable_donations+mortgage_interest)</f>
        <v>250000</v>
      </c>
      <c r="U537" s="9">
        <f>MAX(amt_exemption-amt_exemption_phase_out_rate*MAX(Table1[[#This Row],[taxable wages]]-amt_phase_out_begins,0),0)</f>
        <v>61225</v>
      </c>
      <c r="V5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49131</v>
      </c>
      <c r="W537" s="1">
        <f>IF(AND(Table1[[#This Row],[AMT Taxes]]&gt;Table1[[#This Row],[Regular Taxes Owed]],Table1[[#This Row],[AMT Taxes]]&gt;0),Table1[[#This Row],[AMT Taxes]]-Table1[[#This Row],[Regular Taxes Owed]],0)</f>
        <v>3611.5</v>
      </c>
      <c r="X537" s="9">
        <f>Table1[[#This Row],[Extra Taxes From Amt]]+Table1[[#This Row],[Federal Taxes Owed (No AMT)]]</f>
        <v>49131</v>
      </c>
      <c r="Y537" s="9">
        <f>IF(Table1[[#This Row],[taxable wages]]&gt;obamacare_surcharge_amount,obamacare_surcharge_percent*(Table1[[#This Row],[taxable wages]]-obamacare_surcharge_amount),0)</f>
        <v>0</v>
      </c>
      <c r="Z537" s="9">
        <f>Table1[[#This Row],[Federal Taxes Owed (Includes AMT)]]+Table1[[#This Row],[Obamacare surcharge premium]]</f>
        <v>49131</v>
      </c>
      <c r="AA537" s="9">
        <f>Table1[[#This Row],[taxable wages]]-Table1[[#This Row],[Federal Taxes Owed2]]</f>
        <v>200869</v>
      </c>
      <c r="AB537" s="51">
        <f t="shared" si="46"/>
        <v>0.35</v>
      </c>
      <c r="AC537" s="41"/>
      <c r="AD537" s="13"/>
      <c r="AE537" s="13"/>
    </row>
    <row r="538" spans="2:31" x14ac:dyDescent="0.3">
      <c r="B538" s="41">
        <f t="shared" si="47"/>
        <v>250500</v>
      </c>
      <c r="C538" s="1">
        <f>Table1[[#This Row],[taxable wages]]</f>
        <v>250500</v>
      </c>
      <c r="D538" s="1">
        <f>Table1[[#This Row],[taxable wages]]+interest+dividends+short_term_capital_gains+long_term_capital_gains</f>
        <v>250500</v>
      </c>
      <c r="E538" s="1">
        <f>MAX(Table1[[#This Row],[earned income for EITC]:[Agi For Eitc Calc]])</f>
        <v>250500</v>
      </c>
      <c r="F538" s="1">
        <f>Table1[[#This Row],[taxable wages]]+interest+dividends+short_term_capital_gains+long_term_capital_gains-(trad_ira_contributions+MIN(student_loan_interest_cap,student_loan_interest))</f>
        <v>250500</v>
      </c>
      <c r="G538" s="1">
        <f t="shared" si="43"/>
        <v>12600</v>
      </c>
      <c r="H538" s="1">
        <f t="shared" si="44"/>
        <v>28350</v>
      </c>
      <c r="I538" s="1">
        <f>MAX(0,Table1[[#This Row],[Agi]]-Table1[[#This Row],[Exemptions]]-Table1[[#This Row],[Effective Deductions]])</f>
        <v>209550</v>
      </c>
      <c r="J5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45659.5</v>
      </c>
      <c r="K538" s="1">
        <f t="shared" si="45"/>
        <v>5000</v>
      </c>
      <c r="L538" s="1">
        <f>IF(Table1[[#This Row],[Agi]]&gt;ctc_phase_out_begins,ctc_phase_out_rate*(Table1[[#This Row],[Agi]]-ctc_phase_out_begins),0)</f>
        <v>7025</v>
      </c>
      <c r="M538" s="1">
        <f>MAX(Table1[[#This Row],[Child Tax Credit]]-Table1[[#This Row],[Child Tax Credit Phase Out]],0)</f>
        <v>0</v>
      </c>
      <c r="N538" s="1">
        <f>MAX(Table1[[#This Row],[Regular Taxes Owed]]-Table1[[#This Row],[Effective Child Tax Credit]],0)</f>
        <v>45659.5</v>
      </c>
      <c r="O538" s="1">
        <f>MAX(MIN((Table1[[#This Row],[taxable wages]]-3000)*0.15,1000*num_kids_16_younger),0)</f>
        <v>5000</v>
      </c>
      <c r="P538" s="9">
        <f>IF(Table1[[#This Row],[Effective Child Tax Credit]]&gt;Table1[[#This Row],[Regular Taxes Owed]],Table1[[#This Row],[Additional Child Tax Credit ]]-Table1[[#This Row],[Regular Taxes Owed]],0)</f>
        <v>0</v>
      </c>
      <c r="Q5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8" s="1">
        <f>Table1[[#This Row],[Effective Additional Child Tax Credit]]+Table1[[#This Row],[Eitc]]</f>
        <v>0</v>
      </c>
      <c r="S538" s="9">
        <f>Table1[[#This Row],[Regular Taxes Owed - Effective Child Tax Credit]]-Table1[[#This Row],[Total Credits]]</f>
        <v>45659.5</v>
      </c>
      <c r="T538" s="9">
        <f>Table1[[#This Row],[taxable wages]]+interest+dividends+short_term_capital_gains+long_term_capital_gains-(charitable_donations+mortgage_interest)</f>
        <v>250500</v>
      </c>
      <c r="U538" s="9">
        <f>MAX(amt_exemption-amt_exemption_phase_out_rate*MAX(Table1[[#This Row],[taxable wages]]-amt_phase_out_begins,0),0)</f>
        <v>61100</v>
      </c>
      <c r="V5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49306</v>
      </c>
      <c r="W538" s="1">
        <f>IF(AND(Table1[[#This Row],[AMT Taxes]]&gt;Table1[[#This Row],[Regular Taxes Owed]],Table1[[#This Row],[AMT Taxes]]&gt;0),Table1[[#This Row],[AMT Taxes]]-Table1[[#This Row],[Regular Taxes Owed]],0)</f>
        <v>3646.5</v>
      </c>
      <c r="X538" s="9">
        <f>Table1[[#This Row],[Extra Taxes From Amt]]+Table1[[#This Row],[Federal Taxes Owed (No AMT)]]</f>
        <v>49306</v>
      </c>
      <c r="Y538" s="9">
        <f>IF(Table1[[#This Row],[taxable wages]]&gt;obamacare_surcharge_amount,obamacare_surcharge_percent*(Table1[[#This Row],[taxable wages]]-obamacare_surcharge_amount),0)</f>
        <v>4.5</v>
      </c>
      <c r="Z538" s="9">
        <f>Table1[[#This Row],[Federal Taxes Owed (Includes AMT)]]+Table1[[#This Row],[Obamacare surcharge premium]]</f>
        <v>49310.5</v>
      </c>
      <c r="AA538" s="9">
        <f>Table1[[#This Row],[taxable wages]]-Table1[[#This Row],[Federal Taxes Owed2]]</f>
        <v>201189.5</v>
      </c>
      <c r="AB538" s="51">
        <f t="shared" si="46"/>
        <v>0.35899999999999999</v>
      </c>
      <c r="AC538" s="41"/>
      <c r="AD538" s="13"/>
      <c r="AE538" s="13"/>
    </row>
    <row r="539" spans="2:31" x14ac:dyDescent="0.3">
      <c r="B539" s="41">
        <f t="shared" si="47"/>
        <v>251000</v>
      </c>
      <c r="C539" s="1">
        <f>Table1[[#This Row],[taxable wages]]</f>
        <v>251000</v>
      </c>
      <c r="D539" s="1">
        <f>Table1[[#This Row],[taxable wages]]+interest+dividends+short_term_capital_gains+long_term_capital_gains</f>
        <v>251000</v>
      </c>
      <c r="E539" s="1">
        <f>MAX(Table1[[#This Row],[earned income for EITC]:[Agi For Eitc Calc]])</f>
        <v>251000</v>
      </c>
      <c r="F539" s="1">
        <f>Table1[[#This Row],[taxable wages]]+interest+dividends+short_term_capital_gains+long_term_capital_gains-(trad_ira_contributions+MIN(student_loan_interest_cap,student_loan_interest))</f>
        <v>251000</v>
      </c>
      <c r="G539" s="1">
        <f t="shared" si="43"/>
        <v>12600</v>
      </c>
      <c r="H539" s="1">
        <f t="shared" si="44"/>
        <v>28350</v>
      </c>
      <c r="I539" s="1">
        <f>MAX(0,Table1[[#This Row],[Agi]]-Table1[[#This Row],[Exemptions]]-Table1[[#This Row],[Effective Deductions]])</f>
        <v>210050</v>
      </c>
      <c r="J5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45799.5</v>
      </c>
      <c r="K539" s="1">
        <f t="shared" si="45"/>
        <v>5000</v>
      </c>
      <c r="L539" s="1">
        <f>IF(Table1[[#This Row],[Agi]]&gt;ctc_phase_out_begins,ctc_phase_out_rate*(Table1[[#This Row],[Agi]]-ctc_phase_out_begins),0)</f>
        <v>7050</v>
      </c>
      <c r="M539" s="1">
        <f>MAX(Table1[[#This Row],[Child Tax Credit]]-Table1[[#This Row],[Child Tax Credit Phase Out]],0)</f>
        <v>0</v>
      </c>
      <c r="N539" s="1">
        <f>MAX(Table1[[#This Row],[Regular Taxes Owed]]-Table1[[#This Row],[Effective Child Tax Credit]],0)</f>
        <v>45799.5</v>
      </c>
      <c r="O539" s="1">
        <f>MAX(MIN((Table1[[#This Row],[taxable wages]]-3000)*0.15,1000*num_kids_16_younger),0)</f>
        <v>5000</v>
      </c>
      <c r="P539" s="9">
        <f>IF(Table1[[#This Row],[Effective Child Tax Credit]]&gt;Table1[[#This Row],[Regular Taxes Owed]],Table1[[#This Row],[Additional Child Tax Credit ]]-Table1[[#This Row],[Regular Taxes Owed]],0)</f>
        <v>0</v>
      </c>
      <c r="Q5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39" s="1">
        <f>Table1[[#This Row],[Effective Additional Child Tax Credit]]+Table1[[#This Row],[Eitc]]</f>
        <v>0</v>
      </c>
      <c r="S539" s="9">
        <f>Table1[[#This Row],[Regular Taxes Owed - Effective Child Tax Credit]]-Table1[[#This Row],[Total Credits]]</f>
        <v>45799.5</v>
      </c>
      <c r="T539" s="9">
        <f>Table1[[#This Row],[taxable wages]]+interest+dividends+short_term_capital_gains+long_term_capital_gains-(charitable_donations+mortgage_interest)</f>
        <v>251000</v>
      </c>
      <c r="U539" s="9">
        <f>MAX(amt_exemption-amt_exemption_phase_out_rate*MAX(Table1[[#This Row],[taxable wages]]-amt_phase_out_begins,0),0)</f>
        <v>60975</v>
      </c>
      <c r="V5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49481</v>
      </c>
      <c r="W539" s="1">
        <f>IF(AND(Table1[[#This Row],[AMT Taxes]]&gt;Table1[[#This Row],[Regular Taxes Owed]],Table1[[#This Row],[AMT Taxes]]&gt;0),Table1[[#This Row],[AMT Taxes]]-Table1[[#This Row],[Regular Taxes Owed]],0)</f>
        <v>3681.5</v>
      </c>
      <c r="X539" s="9">
        <f>Table1[[#This Row],[Extra Taxes From Amt]]+Table1[[#This Row],[Federal Taxes Owed (No AMT)]]</f>
        <v>49481</v>
      </c>
      <c r="Y539" s="9">
        <f>IF(Table1[[#This Row],[taxable wages]]&gt;obamacare_surcharge_amount,obamacare_surcharge_percent*(Table1[[#This Row],[taxable wages]]-obamacare_surcharge_amount),0)</f>
        <v>9</v>
      </c>
      <c r="Z539" s="9">
        <f>Table1[[#This Row],[Federal Taxes Owed (Includes AMT)]]+Table1[[#This Row],[Obamacare surcharge premium]]</f>
        <v>49490</v>
      </c>
      <c r="AA539" s="9">
        <f>Table1[[#This Row],[taxable wages]]-Table1[[#This Row],[Federal Taxes Owed2]]</f>
        <v>201510</v>
      </c>
      <c r="AB539" s="51">
        <f t="shared" si="46"/>
        <v>0.35899999999999999</v>
      </c>
      <c r="AC539" s="41"/>
      <c r="AD539" s="13"/>
      <c r="AE539" s="13"/>
    </row>
    <row r="540" spans="2:31" x14ac:dyDescent="0.3">
      <c r="B540" s="41">
        <f t="shared" si="47"/>
        <v>251500</v>
      </c>
      <c r="C540" s="1">
        <f>Table1[[#This Row],[taxable wages]]</f>
        <v>251500</v>
      </c>
      <c r="D540" s="1">
        <f>Table1[[#This Row],[taxable wages]]+interest+dividends+short_term_capital_gains+long_term_capital_gains</f>
        <v>251500</v>
      </c>
      <c r="E540" s="1">
        <f>MAX(Table1[[#This Row],[earned income for EITC]:[Agi For Eitc Calc]])</f>
        <v>251500</v>
      </c>
      <c r="F540" s="1">
        <f>Table1[[#This Row],[taxable wages]]+interest+dividends+short_term_capital_gains+long_term_capital_gains-(trad_ira_contributions+MIN(student_loan_interest_cap,student_loan_interest))</f>
        <v>251500</v>
      </c>
      <c r="G540" s="1">
        <f t="shared" si="43"/>
        <v>12600</v>
      </c>
      <c r="H540" s="1">
        <f t="shared" si="44"/>
        <v>28350</v>
      </c>
      <c r="I540" s="1">
        <f>MAX(0,Table1[[#This Row],[Agi]]-Table1[[#This Row],[Exemptions]]-Table1[[#This Row],[Effective Deductions]])</f>
        <v>210550</v>
      </c>
      <c r="J5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45939.5</v>
      </c>
      <c r="K540" s="1">
        <f t="shared" si="45"/>
        <v>5000</v>
      </c>
      <c r="L540" s="1">
        <f>IF(Table1[[#This Row],[Agi]]&gt;ctc_phase_out_begins,ctc_phase_out_rate*(Table1[[#This Row],[Agi]]-ctc_phase_out_begins),0)</f>
        <v>7075</v>
      </c>
      <c r="M540" s="1">
        <f>MAX(Table1[[#This Row],[Child Tax Credit]]-Table1[[#This Row],[Child Tax Credit Phase Out]],0)</f>
        <v>0</v>
      </c>
      <c r="N540" s="1">
        <f>MAX(Table1[[#This Row],[Regular Taxes Owed]]-Table1[[#This Row],[Effective Child Tax Credit]],0)</f>
        <v>45939.5</v>
      </c>
      <c r="O540" s="1">
        <f>MAX(MIN((Table1[[#This Row],[taxable wages]]-3000)*0.15,1000*num_kids_16_younger),0)</f>
        <v>5000</v>
      </c>
      <c r="P540" s="9">
        <f>IF(Table1[[#This Row],[Effective Child Tax Credit]]&gt;Table1[[#This Row],[Regular Taxes Owed]],Table1[[#This Row],[Additional Child Tax Credit ]]-Table1[[#This Row],[Regular Taxes Owed]],0)</f>
        <v>0</v>
      </c>
      <c r="Q5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0" s="1">
        <f>Table1[[#This Row],[Effective Additional Child Tax Credit]]+Table1[[#This Row],[Eitc]]</f>
        <v>0</v>
      </c>
      <c r="S540" s="9">
        <f>Table1[[#This Row],[Regular Taxes Owed - Effective Child Tax Credit]]-Table1[[#This Row],[Total Credits]]</f>
        <v>45939.5</v>
      </c>
      <c r="T540" s="9">
        <f>Table1[[#This Row],[taxable wages]]+interest+dividends+short_term_capital_gains+long_term_capital_gains-(charitable_donations+mortgage_interest)</f>
        <v>251500</v>
      </c>
      <c r="U540" s="9">
        <f>MAX(amt_exemption-amt_exemption_phase_out_rate*MAX(Table1[[#This Row],[taxable wages]]-amt_phase_out_begins,0),0)</f>
        <v>60850</v>
      </c>
      <c r="V5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49656</v>
      </c>
      <c r="W540" s="1">
        <f>IF(AND(Table1[[#This Row],[AMT Taxes]]&gt;Table1[[#This Row],[Regular Taxes Owed]],Table1[[#This Row],[AMT Taxes]]&gt;0),Table1[[#This Row],[AMT Taxes]]-Table1[[#This Row],[Regular Taxes Owed]],0)</f>
        <v>3716.5</v>
      </c>
      <c r="X540" s="9">
        <f>Table1[[#This Row],[Extra Taxes From Amt]]+Table1[[#This Row],[Federal Taxes Owed (No AMT)]]</f>
        <v>49656</v>
      </c>
      <c r="Y540" s="9">
        <f>IF(Table1[[#This Row],[taxable wages]]&gt;obamacare_surcharge_amount,obamacare_surcharge_percent*(Table1[[#This Row],[taxable wages]]-obamacare_surcharge_amount),0)</f>
        <v>13.499999999999998</v>
      </c>
      <c r="Z540" s="9">
        <f>Table1[[#This Row],[Federal Taxes Owed (Includes AMT)]]+Table1[[#This Row],[Obamacare surcharge premium]]</f>
        <v>49669.5</v>
      </c>
      <c r="AA540" s="9">
        <f>Table1[[#This Row],[taxable wages]]-Table1[[#This Row],[Federal Taxes Owed2]]</f>
        <v>201830.5</v>
      </c>
      <c r="AB540" s="51">
        <f t="shared" si="46"/>
        <v>0.35899999999999999</v>
      </c>
      <c r="AC540" s="41"/>
      <c r="AD540" s="13"/>
      <c r="AE540" s="13"/>
    </row>
    <row r="541" spans="2:31" x14ac:dyDescent="0.3">
      <c r="B541" s="41">
        <f t="shared" si="47"/>
        <v>252000</v>
      </c>
      <c r="C541" s="1">
        <f>Table1[[#This Row],[taxable wages]]</f>
        <v>252000</v>
      </c>
      <c r="D541" s="1">
        <f>Table1[[#This Row],[taxable wages]]+interest+dividends+short_term_capital_gains+long_term_capital_gains</f>
        <v>252000</v>
      </c>
      <c r="E541" s="1">
        <f>MAX(Table1[[#This Row],[earned income for EITC]:[Agi For Eitc Calc]])</f>
        <v>252000</v>
      </c>
      <c r="F541" s="1">
        <f>Table1[[#This Row],[taxable wages]]+interest+dividends+short_term_capital_gains+long_term_capital_gains-(trad_ira_contributions+MIN(student_loan_interest_cap,student_loan_interest))</f>
        <v>252000</v>
      </c>
      <c r="G541" s="1">
        <f t="shared" si="43"/>
        <v>12600</v>
      </c>
      <c r="H541" s="1">
        <f t="shared" si="44"/>
        <v>28350</v>
      </c>
      <c r="I541" s="1">
        <f>MAX(0,Table1[[#This Row],[Agi]]-Table1[[#This Row],[Exemptions]]-Table1[[#This Row],[Effective Deductions]])</f>
        <v>211050</v>
      </c>
      <c r="J5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46079.5</v>
      </c>
      <c r="K541" s="1">
        <f t="shared" si="45"/>
        <v>5000</v>
      </c>
      <c r="L541" s="1">
        <f>IF(Table1[[#This Row],[Agi]]&gt;ctc_phase_out_begins,ctc_phase_out_rate*(Table1[[#This Row],[Agi]]-ctc_phase_out_begins),0)</f>
        <v>7100</v>
      </c>
      <c r="M541" s="1">
        <f>MAX(Table1[[#This Row],[Child Tax Credit]]-Table1[[#This Row],[Child Tax Credit Phase Out]],0)</f>
        <v>0</v>
      </c>
      <c r="N541" s="1">
        <f>MAX(Table1[[#This Row],[Regular Taxes Owed]]-Table1[[#This Row],[Effective Child Tax Credit]],0)</f>
        <v>46079.5</v>
      </c>
      <c r="O541" s="1">
        <f>MAX(MIN((Table1[[#This Row],[taxable wages]]-3000)*0.15,1000*num_kids_16_younger),0)</f>
        <v>5000</v>
      </c>
      <c r="P541" s="9">
        <f>IF(Table1[[#This Row],[Effective Child Tax Credit]]&gt;Table1[[#This Row],[Regular Taxes Owed]],Table1[[#This Row],[Additional Child Tax Credit ]]-Table1[[#This Row],[Regular Taxes Owed]],0)</f>
        <v>0</v>
      </c>
      <c r="Q5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1" s="1">
        <f>Table1[[#This Row],[Effective Additional Child Tax Credit]]+Table1[[#This Row],[Eitc]]</f>
        <v>0</v>
      </c>
      <c r="S541" s="9">
        <f>Table1[[#This Row],[Regular Taxes Owed - Effective Child Tax Credit]]-Table1[[#This Row],[Total Credits]]</f>
        <v>46079.5</v>
      </c>
      <c r="T541" s="9">
        <f>Table1[[#This Row],[taxable wages]]+interest+dividends+short_term_capital_gains+long_term_capital_gains-(charitable_donations+mortgage_interest)</f>
        <v>252000</v>
      </c>
      <c r="U541" s="9">
        <f>MAX(amt_exemption-amt_exemption_phase_out_rate*MAX(Table1[[#This Row],[taxable wages]]-amt_phase_out_begins,0),0)</f>
        <v>60725</v>
      </c>
      <c r="V5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49831</v>
      </c>
      <c r="W541" s="1">
        <f>IF(AND(Table1[[#This Row],[AMT Taxes]]&gt;Table1[[#This Row],[Regular Taxes Owed]],Table1[[#This Row],[AMT Taxes]]&gt;0),Table1[[#This Row],[AMT Taxes]]-Table1[[#This Row],[Regular Taxes Owed]],0)</f>
        <v>3751.5</v>
      </c>
      <c r="X541" s="9">
        <f>Table1[[#This Row],[Extra Taxes From Amt]]+Table1[[#This Row],[Federal Taxes Owed (No AMT)]]</f>
        <v>49831</v>
      </c>
      <c r="Y541" s="9">
        <f>IF(Table1[[#This Row],[taxable wages]]&gt;obamacare_surcharge_amount,obamacare_surcharge_percent*(Table1[[#This Row],[taxable wages]]-obamacare_surcharge_amount),0)</f>
        <v>18</v>
      </c>
      <c r="Z541" s="9">
        <f>Table1[[#This Row],[Federal Taxes Owed (Includes AMT)]]+Table1[[#This Row],[Obamacare surcharge premium]]</f>
        <v>49849</v>
      </c>
      <c r="AA541" s="9">
        <f>Table1[[#This Row],[taxable wages]]-Table1[[#This Row],[Federal Taxes Owed2]]</f>
        <v>202151</v>
      </c>
      <c r="AB541" s="51">
        <f t="shared" si="46"/>
        <v>0.35899999999999999</v>
      </c>
      <c r="AC541" s="41"/>
      <c r="AD541" s="13"/>
      <c r="AE541" s="13"/>
    </row>
    <row r="542" spans="2:31" x14ac:dyDescent="0.3">
      <c r="B542" s="41">
        <f t="shared" si="47"/>
        <v>252500</v>
      </c>
      <c r="C542" s="1">
        <f>Table1[[#This Row],[taxable wages]]</f>
        <v>252500</v>
      </c>
      <c r="D542" s="1">
        <f>Table1[[#This Row],[taxable wages]]+interest+dividends+short_term_capital_gains+long_term_capital_gains</f>
        <v>252500</v>
      </c>
      <c r="E542" s="1">
        <f>MAX(Table1[[#This Row],[earned income for EITC]:[Agi For Eitc Calc]])</f>
        <v>252500</v>
      </c>
      <c r="F542" s="1">
        <f>Table1[[#This Row],[taxable wages]]+interest+dividends+short_term_capital_gains+long_term_capital_gains-(trad_ira_contributions+MIN(student_loan_interest_cap,student_loan_interest))</f>
        <v>252500</v>
      </c>
      <c r="G542" s="1">
        <f t="shared" si="43"/>
        <v>12600</v>
      </c>
      <c r="H542" s="1">
        <f t="shared" si="44"/>
        <v>28350</v>
      </c>
      <c r="I542" s="1">
        <f>MAX(0,Table1[[#This Row],[Agi]]-Table1[[#This Row],[Exemptions]]-Table1[[#This Row],[Effective Deductions]])</f>
        <v>211550</v>
      </c>
      <c r="J5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46219.5</v>
      </c>
      <c r="K542" s="1">
        <f t="shared" si="45"/>
        <v>5000</v>
      </c>
      <c r="L542" s="1">
        <f>IF(Table1[[#This Row],[Agi]]&gt;ctc_phase_out_begins,ctc_phase_out_rate*(Table1[[#This Row],[Agi]]-ctc_phase_out_begins),0)</f>
        <v>7125</v>
      </c>
      <c r="M542" s="1">
        <f>MAX(Table1[[#This Row],[Child Tax Credit]]-Table1[[#This Row],[Child Tax Credit Phase Out]],0)</f>
        <v>0</v>
      </c>
      <c r="N542" s="1">
        <f>MAX(Table1[[#This Row],[Regular Taxes Owed]]-Table1[[#This Row],[Effective Child Tax Credit]],0)</f>
        <v>46219.5</v>
      </c>
      <c r="O542" s="1">
        <f>MAX(MIN((Table1[[#This Row],[taxable wages]]-3000)*0.15,1000*num_kids_16_younger),0)</f>
        <v>5000</v>
      </c>
      <c r="P542" s="9">
        <f>IF(Table1[[#This Row],[Effective Child Tax Credit]]&gt;Table1[[#This Row],[Regular Taxes Owed]],Table1[[#This Row],[Additional Child Tax Credit ]]-Table1[[#This Row],[Regular Taxes Owed]],0)</f>
        <v>0</v>
      </c>
      <c r="Q5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2" s="1">
        <f>Table1[[#This Row],[Effective Additional Child Tax Credit]]+Table1[[#This Row],[Eitc]]</f>
        <v>0</v>
      </c>
      <c r="S542" s="9">
        <f>Table1[[#This Row],[Regular Taxes Owed - Effective Child Tax Credit]]-Table1[[#This Row],[Total Credits]]</f>
        <v>46219.5</v>
      </c>
      <c r="T542" s="9">
        <f>Table1[[#This Row],[taxable wages]]+interest+dividends+short_term_capital_gains+long_term_capital_gains-(charitable_donations+mortgage_interest)</f>
        <v>252500</v>
      </c>
      <c r="U542" s="9">
        <f>MAX(amt_exemption-amt_exemption_phase_out_rate*MAX(Table1[[#This Row],[taxable wages]]-amt_phase_out_begins,0),0)</f>
        <v>60600</v>
      </c>
      <c r="V5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50006</v>
      </c>
      <c r="W542" s="1">
        <f>IF(AND(Table1[[#This Row],[AMT Taxes]]&gt;Table1[[#This Row],[Regular Taxes Owed]],Table1[[#This Row],[AMT Taxes]]&gt;0),Table1[[#This Row],[AMT Taxes]]-Table1[[#This Row],[Regular Taxes Owed]],0)</f>
        <v>3786.5</v>
      </c>
      <c r="X542" s="9">
        <f>Table1[[#This Row],[Extra Taxes From Amt]]+Table1[[#This Row],[Federal Taxes Owed (No AMT)]]</f>
        <v>50006</v>
      </c>
      <c r="Y542" s="9">
        <f>IF(Table1[[#This Row],[taxable wages]]&gt;obamacare_surcharge_amount,obamacare_surcharge_percent*(Table1[[#This Row],[taxable wages]]-obamacare_surcharge_amount),0)</f>
        <v>22.5</v>
      </c>
      <c r="Z542" s="9">
        <f>Table1[[#This Row],[Federal Taxes Owed (Includes AMT)]]+Table1[[#This Row],[Obamacare surcharge premium]]</f>
        <v>50028.5</v>
      </c>
      <c r="AA542" s="9">
        <f>Table1[[#This Row],[taxable wages]]-Table1[[#This Row],[Federal Taxes Owed2]]</f>
        <v>202471.5</v>
      </c>
      <c r="AB542" s="51">
        <f t="shared" si="46"/>
        <v>0.35899999999999999</v>
      </c>
      <c r="AC542" s="41"/>
      <c r="AD542" s="13"/>
      <c r="AE542" s="13"/>
    </row>
    <row r="543" spans="2:31" x14ac:dyDescent="0.3">
      <c r="B543" s="41">
        <f t="shared" si="47"/>
        <v>253000</v>
      </c>
      <c r="C543" s="1">
        <f>Table1[[#This Row],[taxable wages]]</f>
        <v>253000</v>
      </c>
      <c r="D543" s="1">
        <f>Table1[[#This Row],[taxable wages]]+interest+dividends+short_term_capital_gains+long_term_capital_gains</f>
        <v>253000</v>
      </c>
      <c r="E543" s="1">
        <f>MAX(Table1[[#This Row],[earned income for EITC]:[Agi For Eitc Calc]])</f>
        <v>253000</v>
      </c>
      <c r="F543" s="1">
        <f>Table1[[#This Row],[taxable wages]]+interest+dividends+short_term_capital_gains+long_term_capital_gains-(trad_ira_contributions+MIN(student_loan_interest_cap,student_loan_interest))</f>
        <v>253000</v>
      </c>
      <c r="G543" s="1">
        <f t="shared" si="43"/>
        <v>12600</v>
      </c>
      <c r="H543" s="1">
        <f t="shared" si="44"/>
        <v>28350</v>
      </c>
      <c r="I543" s="1">
        <f>MAX(0,Table1[[#This Row],[Agi]]-Table1[[#This Row],[Exemptions]]-Table1[[#This Row],[Effective Deductions]])</f>
        <v>212050</v>
      </c>
      <c r="J5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46359.5</v>
      </c>
      <c r="K543" s="1">
        <f t="shared" si="45"/>
        <v>5000</v>
      </c>
      <c r="L543" s="1">
        <f>IF(Table1[[#This Row],[Agi]]&gt;ctc_phase_out_begins,ctc_phase_out_rate*(Table1[[#This Row],[Agi]]-ctc_phase_out_begins),0)</f>
        <v>7150</v>
      </c>
      <c r="M543" s="1">
        <f>MAX(Table1[[#This Row],[Child Tax Credit]]-Table1[[#This Row],[Child Tax Credit Phase Out]],0)</f>
        <v>0</v>
      </c>
      <c r="N543" s="1">
        <f>MAX(Table1[[#This Row],[Regular Taxes Owed]]-Table1[[#This Row],[Effective Child Tax Credit]],0)</f>
        <v>46359.5</v>
      </c>
      <c r="O543" s="1">
        <f>MAX(MIN((Table1[[#This Row],[taxable wages]]-3000)*0.15,1000*num_kids_16_younger),0)</f>
        <v>5000</v>
      </c>
      <c r="P543" s="9">
        <f>IF(Table1[[#This Row],[Effective Child Tax Credit]]&gt;Table1[[#This Row],[Regular Taxes Owed]],Table1[[#This Row],[Additional Child Tax Credit ]]-Table1[[#This Row],[Regular Taxes Owed]],0)</f>
        <v>0</v>
      </c>
      <c r="Q5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3" s="1">
        <f>Table1[[#This Row],[Effective Additional Child Tax Credit]]+Table1[[#This Row],[Eitc]]</f>
        <v>0</v>
      </c>
      <c r="S543" s="9">
        <f>Table1[[#This Row],[Regular Taxes Owed - Effective Child Tax Credit]]-Table1[[#This Row],[Total Credits]]</f>
        <v>46359.5</v>
      </c>
      <c r="T543" s="9">
        <f>Table1[[#This Row],[taxable wages]]+interest+dividends+short_term_capital_gains+long_term_capital_gains-(charitable_donations+mortgage_interest)</f>
        <v>253000</v>
      </c>
      <c r="U543" s="9">
        <f>MAX(amt_exemption-amt_exemption_phase_out_rate*MAX(Table1[[#This Row],[taxable wages]]-amt_phase_out_begins,0),0)</f>
        <v>60475</v>
      </c>
      <c r="V5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50181</v>
      </c>
      <c r="W543" s="1">
        <f>IF(AND(Table1[[#This Row],[AMT Taxes]]&gt;Table1[[#This Row],[Regular Taxes Owed]],Table1[[#This Row],[AMT Taxes]]&gt;0),Table1[[#This Row],[AMT Taxes]]-Table1[[#This Row],[Regular Taxes Owed]],0)</f>
        <v>3821.5</v>
      </c>
      <c r="X543" s="9">
        <f>Table1[[#This Row],[Extra Taxes From Amt]]+Table1[[#This Row],[Federal Taxes Owed (No AMT)]]</f>
        <v>50181</v>
      </c>
      <c r="Y543" s="9">
        <f>IF(Table1[[#This Row],[taxable wages]]&gt;obamacare_surcharge_amount,obamacare_surcharge_percent*(Table1[[#This Row],[taxable wages]]-obamacare_surcharge_amount),0)</f>
        <v>26.999999999999996</v>
      </c>
      <c r="Z543" s="9">
        <f>Table1[[#This Row],[Federal Taxes Owed (Includes AMT)]]+Table1[[#This Row],[Obamacare surcharge premium]]</f>
        <v>50208</v>
      </c>
      <c r="AA543" s="9">
        <f>Table1[[#This Row],[taxable wages]]-Table1[[#This Row],[Federal Taxes Owed2]]</f>
        <v>202792</v>
      </c>
      <c r="AB543" s="51">
        <f t="shared" si="46"/>
        <v>0.35899999999999999</v>
      </c>
      <c r="AC543" s="41"/>
      <c r="AD543" s="13"/>
      <c r="AE543" s="13"/>
    </row>
    <row r="544" spans="2:31" x14ac:dyDescent="0.3">
      <c r="B544" s="41">
        <f t="shared" si="47"/>
        <v>253500</v>
      </c>
      <c r="C544" s="1">
        <f>Table1[[#This Row],[taxable wages]]</f>
        <v>253500</v>
      </c>
      <c r="D544" s="1">
        <f>Table1[[#This Row],[taxable wages]]+interest+dividends+short_term_capital_gains+long_term_capital_gains</f>
        <v>253500</v>
      </c>
      <c r="E544" s="1">
        <f>MAX(Table1[[#This Row],[earned income for EITC]:[Agi For Eitc Calc]])</f>
        <v>253500</v>
      </c>
      <c r="F544" s="1">
        <f>Table1[[#This Row],[taxable wages]]+interest+dividends+short_term_capital_gains+long_term_capital_gains-(trad_ira_contributions+MIN(student_loan_interest_cap,student_loan_interest))</f>
        <v>253500</v>
      </c>
      <c r="G544" s="1">
        <f t="shared" si="43"/>
        <v>12600</v>
      </c>
      <c r="H544" s="1">
        <f t="shared" si="44"/>
        <v>28350</v>
      </c>
      <c r="I544" s="1">
        <f>MAX(0,Table1[[#This Row],[Agi]]-Table1[[#This Row],[Exemptions]]-Table1[[#This Row],[Effective Deductions]])</f>
        <v>212550</v>
      </c>
      <c r="J5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46499.5</v>
      </c>
      <c r="K544" s="1">
        <f t="shared" si="45"/>
        <v>5000</v>
      </c>
      <c r="L544" s="1">
        <f>IF(Table1[[#This Row],[Agi]]&gt;ctc_phase_out_begins,ctc_phase_out_rate*(Table1[[#This Row],[Agi]]-ctc_phase_out_begins),0)</f>
        <v>7175</v>
      </c>
      <c r="M544" s="1">
        <f>MAX(Table1[[#This Row],[Child Tax Credit]]-Table1[[#This Row],[Child Tax Credit Phase Out]],0)</f>
        <v>0</v>
      </c>
      <c r="N544" s="1">
        <f>MAX(Table1[[#This Row],[Regular Taxes Owed]]-Table1[[#This Row],[Effective Child Tax Credit]],0)</f>
        <v>46499.5</v>
      </c>
      <c r="O544" s="1">
        <f>MAX(MIN((Table1[[#This Row],[taxable wages]]-3000)*0.15,1000*num_kids_16_younger),0)</f>
        <v>5000</v>
      </c>
      <c r="P544" s="9">
        <f>IF(Table1[[#This Row],[Effective Child Tax Credit]]&gt;Table1[[#This Row],[Regular Taxes Owed]],Table1[[#This Row],[Additional Child Tax Credit ]]-Table1[[#This Row],[Regular Taxes Owed]],0)</f>
        <v>0</v>
      </c>
      <c r="Q5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4" s="1">
        <f>Table1[[#This Row],[Effective Additional Child Tax Credit]]+Table1[[#This Row],[Eitc]]</f>
        <v>0</v>
      </c>
      <c r="S544" s="9">
        <f>Table1[[#This Row],[Regular Taxes Owed - Effective Child Tax Credit]]-Table1[[#This Row],[Total Credits]]</f>
        <v>46499.5</v>
      </c>
      <c r="T544" s="9">
        <f>Table1[[#This Row],[taxable wages]]+interest+dividends+short_term_capital_gains+long_term_capital_gains-(charitable_donations+mortgage_interest)</f>
        <v>253500</v>
      </c>
      <c r="U544" s="9">
        <f>MAX(amt_exemption-amt_exemption_phase_out_rate*MAX(Table1[[#This Row],[taxable wages]]-amt_phase_out_begins,0),0)</f>
        <v>60350</v>
      </c>
      <c r="V5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50356</v>
      </c>
      <c r="W544" s="1">
        <f>IF(AND(Table1[[#This Row],[AMT Taxes]]&gt;Table1[[#This Row],[Regular Taxes Owed]],Table1[[#This Row],[AMT Taxes]]&gt;0),Table1[[#This Row],[AMT Taxes]]-Table1[[#This Row],[Regular Taxes Owed]],0)</f>
        <v>3856.5</v>
      </c>
      <c r="X544" s="9">
        <f>Table1[[#This Row],[Extra Taxes From Amt]]+Table1[[#This Row],[Federal Taxes Owed (No AMT)]]</f>
        <v>50356</v>
      </c>
      <c r="Y544" s="9">
        <f>IF(Table1[[#This Row],[taxable wages]]&gt;obamacare_surcharge_amount,obamacare_surcharge_percent*(Table1[[#This Row],[taxable wages]]-obamacare_surcharge_amount),0)</f>
        <v>31.499999999999996</v>
      </c>
      <c r="Z544" s="9">
        <f>Table1[[#This Row],[Federal Taxes Owed (Includes AMT)]]+Table1[[#This Row],[Obamacare surcharge premium]]</f>
        <v>50387.5</v>
      </c>
      <c r="AA544" s="9">
        <f>Table1[[#This Row],[taxable wages]]-Table1[[#This Row],[Federal Taxes Owed2]]</f>
        <v>203112.5</v>
      </c>
      <c r="AB544" s="51">
        <f t="shared" si="46"/>
        <v>0.35899999999999999</v>
      </c>
      <c r="AC544" s="41"/>
      <c r="AD544" s="13"/>
      <c r="AE544" s="13"/>
    </row>
    <row r="545" spans="2:31" x14ac:dyDescent="0.3">
      <c r="B545" s="41">
        <f t="shared" si="47"/>
        <v>254000</v>
      </c>
      <c r="C545" s="1">
        <f>Table1[[#This Row],[taxable wages]]</f>
        <v>254000</v>
      </c>
      <c r="D545" s="1">
        <f>Table1[[#This Row],[taxable wages]]+interest+dividends+short_term_capital_gains+long_term_capital_gains</f>
        <v>254000</v>
      </c>
      <c r="E545" s="1">
        <f>MAX(Table1[[#This Row],[earned income for EITC]:[Agi For Eitc Calc]])</f>
        <v>254000</v>
      </c>
      <c r="F545" s="1">
        <f>Table1[[#This Row],[taxable wages]]+interest+dividends+short_term_capital_gains+long_term_capital_gains-(trad_ira_contributions+MIN(student_loan_interest_cap,student_loan_interest))</f>
        <v>254000</v>
      </c>
      <c r="G545" s="1">
        <f t="shared" si="43"/>
        <v>12600</v>
      </c>
      <c r="H545" s="1">
        <f t="shared" si="44"/>
        <v>28350</v>
      </c>
      <c r="I545" s="1">
        <f>MAX(0,Table1[[#This Row],[Agi]]-Table1[[#This Row],[Exemptions]]-Table1[[#This Row],[Effective Deductions]])</f>
        <v>213050</v>
      </c>
      <c r="J5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46639.5</v>
      </c>
      <c r="K545" s="1">
        <f t="shared" si="45"/>
        <v>5000</v>
      </c>
      <c r="L545" s="1">
        <f>IF(Table1[[#This Row],[Agi]]&gt;ctc_phase_out_begins,ctc_phase_out_rate*(Table1[[#This Row],[Agi]]-ctc_phase_out_begins),0)</f>
        <v>7200</v>
      </c>
      <c r="M545" s="1">
        <f>MAX(Table1[[#This Row],[Child Tax Credit]]-Table1[[#This Row],[Child Tax Credit Phase Out]],0)</f>
        <v>0</v>
      </c>
      <c r="N545" s="1">
        <f>MAX(Table1[[#This Row],[Regular Taxes Owed]]-Table1[[#This Row],[Effective Child Tax Credit]],0)</f>
        <v>46639.5</v>
      </c>
      <c r="O545" s="1">
        <f>MAX(MIN((Table1[[#This Row],[taxable wages]]-3000)*0.15,1000*num_kids_16_younger),0)</f>
        <v>5000</v>
      </c>
      <c r="P545" s="9">
        <f>IF(Table1[[#This Row],[Effective Child Tax Credit]]&gt;Table1[[#This Row],[Regular Taxes Owed]],Table1[[#This Row],[Additional Child Tax Credit ]]-Table1[[#This Row],[Regular Taxes Owed]],0)</f>
        <v>0</v>
      </c>
      <c r="Q5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5" s="1">
        <f>Table1[[#This Row],[Effective Additional Child Tax Credit]]+Table1[[#This Row],[Eitc]]</f>
        <v>0</v>
      </c>
      <c r="S545" s="9">
        <f>Table1[[#This Row],[Regular Taxes Owed - Effective Child Tax Credit]]-Table1[[#This Row],[Total Credits]]</f>
        <v>46639.5</v>
      </c>
      <c r="T545" s="9">
        <f>Table1[[#This Row],[taxable wages]]+interest+dividends+short_term_capital_gains+long_term_capital_gains-(charitable_donations+mortgage_interest)</f>
        <v>254000</v>
      </c>
      <c r="U545" s="9">
        <f>MAX(amt_exemption-amt_exemption_phase_out_rate*MAX(Table1[[#This Row],[taxable wages]]-amt_phase_out_begins,0),0)</f>
        <v>60225</v>
      </c>
      <c r="V5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50531</v>
      </c>
      <c r="W545" s="1">
        <f>IF(AND(Table1[[#This Row],[AMT Taxes]]&gt;Table1[[#This Row],[Regular Taxes Owed]],Table1[[#This Row],[AMT Taxes]]&gt;0),Table1[[#This Row],[AMT Taxes]]-Table1[[#This Row],[Regular Taxes Owed]],0)</f>
        <v>3891.5</v>
      </c>
      <c r="X545" s="9">
        <f>Table1[[#This Row],[Extra Taxes From Amt]]+Table1[[#This Row],[Federal Taxes Owed (No AMT)]]</f>
        <v>50531</v>
      </c>
      <c r="Y545" s="9">
        <f>IF(Table1[[#This Row],[taxable wages]]&gt;obamacare_surcharge_amount,obamacare_surcharge_percent*(Table1[[#This Row],[taxable wages]]-obamacare_surcharge_amount),0)</f>
        <v>36</v>
      </c>
      <c r="Z545" s="9">
        <f>Table1[[#This Row],[Federal Taxes Owed (Includes AMT)]]+Table1[[#This Row],[Obamacare surcharge premium]]</f>
        <v>50567</v>
      </c>
      <c r="AA545" s="9">
        <f>Table1[[#This Row],[taxable wages]]-Table1[[#This Row],[Federal Taxes Owed2]]</f>
        <v>203433</v>
      </c>
      <c r="AB545" s="51">
        <f t="shared" si="46"/>
        <v>0.35899999999999999</v>
      </c>
      <c r="AC545" s="41"/>
      <c r="AD545" s="13"/>
      <c r="AE545" s="13"/>
    </row>
    <row r="546" spans="2:31" x14ac:dyDescent="0.3">
      <c r="B546" s="41">
        <f t="shared" si="47"/>
        <v>254500</v>
      </c>
      <c r="C546" s="1">
        <f>Table1[[#This Row],[taxable wages]]</f>
        <v>254500</v>
      </c>
      <c r="D546" s="1">
        <f>Table1[[#This Row],[taxable wages]]+interest+dividends+short_term_capital_gains+long_term_capital_gains</f>
        <v>254500</v>
      </c>
      <c r="E546" s="1">
        <f>MAX(Table1[[#This Row],[earned income for EITC]:[Agi For Eitc Calc]])</f>
        <v>254500</v>
      </c>
      <c r="F546" s="1">
        <f>Table1[[#This Row],[taxable wages]]+interest+dividends+short_term_capital_gains+long_term_capital_gains-(trad_ira_contributions+MIN(student_loan_interest_cap,student_loan_interest))</f>
        <v>254500</v>
      </c>
      <c r="G546" s="1">
        <f t="shared" si="43"/>
        <v>12600</v>
      </c>
      <c r="H546" s="1">
        <f t="shared" si="44"/>
        <v>28350</v>
      </c>
      <c r="I546" s="1">
        <f>MAX(0,Table1[[#This Row],[Agi]]-Table1[[#This Row],[Exemptions]]-Table1[[#This Row],[Effective Deductions]])</f>
        <v>213550</v>
      </c>
      <c r="J5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46779.5</v>
      </c>
      <c r="K546" s="1">
        <f t="shared" si="45"/>
        <v>5000</v>
      </c>
      <c r="L546" s="1">
        <f>IF(Table1[[#This Row],[Agi]]&gt;ctc_phase_out_begins,ctc_phase_out_rate*(Table1[[#This Row],[Agi]]-ctc_phase_out_begins),0)</f>
        <v>7225</v>
      </c>
      <c r="M546" s="1">
        <f>MAX(Table1[[#This Row],[Child Tax Credit]]-Table1[[#This Row],[Child Tax Credit Phase Out]],0)</f>
        <v>0</v>
      </c>
      <c r="N546" s="1">
        <f>MAX(Table1[[#This Row],[Regular Taxes Owed]]-Table1[[#This Row],[Effective Child Tax Credit]],0)</f>
        <v>46779.5</v>
      </c>
      <c r="O546" s="1">
        <f>MAX(MIN((Table1[[#This Row],[taxable wages]]-3000)*0.15,1000*num_kids_16_younger),0)</f>
        <v>5000</v>
      </c>
      <c r="P546" s="9">
        <f>IF(Table1[[#This Row],[Effective Child Tax Credit]]&gt;Table1[[#This Row],[Regular Taxes Owed]],Table1[[#This Row],[Additional Child Tax Credit ]]-Table1[[#This Row],[Regular Taxes Owed]],0)</f>
        <v>0</v>
      </c>
      <c r="Q5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6" s="1">
        <f>Table1[[#This Row],[Effective Additional Child Tax Credit]]+Table1[[#This Row],[Eitc]]</f>
        <v>0</v>
      </c>
      <c r="S546" s="9">
        <f>Table1[[#This Row],[Regular Taxes Owed - Effective Child Tax Credit]]-Table1[[#This Row],[Total Credits]]</f>
        <v>46779.5</v>
      </c>
      <c r="T546" s="9">
        <f>Table1[[#This Row],[taxable wages]]+interest+dividends+short_term_capital_gains+long_term_capital_gains-(charitable_donations+mortgage_interest)</f>
        <v>254500</v>
      </c>
      <c r="U546" s="9">
        <f>MAX(amt_exemption-amt_exemption_phase_out_rate*MAX(Table1[[#This Row],[taxable wages]]-amt_phase_out_begins,0),0)</f>
        <v>60100</v>
      </c>
      <c r="V5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50706</v>
      </c>
      <c r="W546" s="1">
        <f>IF(AND(Table1[[#This Row],[AMT Taxes]]&gt;Table1[[#This Row],[Regular Taxes Owed]],Table1[[#This Row],[AMT Taxes]]&gt;0),Table1[[#This Row],[AMT Taxes]]-Table1[[#This Row],[Regular Taxes Owed]],0)</f>
        <v>3926.5</v>
      </c>
      <c r="X546" s="9">
        <f>Table1[[#This Row],[Extra Taxes From Amt]]+Table1[[#This Row],[Federal Taxes Owed (No AMT)]]</f>
        <v>50706</v>
      </c>
      <c r="Y546" s="9">
        <f>IF(Table1[[#This Row],[taxable wages]]&gt;obamacare_surcharge_amount,obamacare_surcharge_percent*(Table1[[#This Row],[taxable wages]]-obamacare_surcharge_amount),0)</f>
        <v>40.5</v>
      </c>
      <c r="Z546" s="9">
        <f>Table1[[#This Row],[Federal Taxes Owed (Includes AMT)]]+Table1[[#This Row],[Obamacare surcharge premium]]</f>
        <v>50746.5</v>
      </c>
      <c r="AA546" s="9">
        <f>Table1[[#This Row],[taxable wages]]-Table1[[#This Row],[Federal Taxes Owed2]]</f>
        <v>203753.5</v>
      </c>
      <c r="AB546" s="51">
        <f t="shared" si="46"/>
        <v>0.35899999999999999</v>
      </c>
      <c r="AC546" s="41"/>
      <c r="AD546" s="13"/>
      <c r="AE546" s="13"/>
    </row>
    <row r="547" spans="2:31" x14ac:dyDescent="0.3">
      <c r="B547" s="41">
        <f t="shared" si="47"/>
        <v>255000</v>
      </c>
      <c r="C547" s="1">
        <f>Table1[[#This Row],[taxable wages]]</f>
        <v>255000</v>
      </c>
      <c r="D547" s="1">
        <f>Table1[[#This Row],[taxable wages]]+interest+dividends+short_term_capital_gains+long_term_capital_gains</f>
        <v>255000</v>
      </c>
      <c r="E547" s="1">
        <f>MAX(Table1[[#This Row],[earned income for EITC]:[Agi For Eitc Calc]])</f>
        <v>255000</v>
      </c>
      <c r="F547" s="1">
        <f>Table1[[#This Row],[taxable wages]]+interest+dividends+short_term_capital_gains+long_term_capital_gains-(trad_ira_contributions+MIN(student_loan_interest_cap,student_loan_interest))</f>
        <v>255000</v>
      </c>
      <c r="G547" s="1">
        <f t="shared" si="43"/>
        <v>12600</v>
      </c>
      <c r="H547" s="1">
        <f t="shared" si="44"/>
        <v>28350</v>
      </c>
      <c r="I547" s="1">
        <f>MAX(0,Table1[[#This Row],[Agi]]-Table1[[#This Row],[Exemptions]]-Table1[[#This Row],[Effective Deductions]])</f>
        <v>214050</v>
      </c>
      <c r="J5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46919.5</v>
      </c>
      <c r="K547" s="1">
        <f t="shared" si="45"/>
        <v>5000</v>
      </c>
      <c r="L547" s="1">
        <f>IF(Table1[[#This Row],[Agi]]&gt;ctc_phase_out_begins,ctc_phase_out_rate*(Table1[[#This Row],[Agi]]-ctc_phase_out_begins),0)</f>
        <v>7250</v>
      </c>
      <c r="M547" s="1">
        <f>MAX(Table1[[#This Row],[Child Tax Credit]]-Table1[[#This Row],[Child Tax Credit Phase Out]],0)</f>
        <v>0</v>
      </c>
      <c r="N547" s="1">
        <f>MAX(Table1[[#This Row],[Regular Taxes Owed]]-Table1[[#This Row],[Effective Child Tax Credit]],0)</f>
        <v>46919.5</v>
      </c>
      <c r="O547" s="1">
        <f>MAX(MIN((Table1[[#This Row],[taxable wages]]-3000)*0.15,1000*num_kids_16_younger),0)</f>
        <v>5000</v>
      </c>
      <c r="P547" s="9">
        <f>IF(Table1[[#This Row],[Effective Child Tax Credit]]&gt;Table1[[#This Row],[Regular Taxes Owed]],Table1[[#This Row],[Additional Child Tax Credit ]]-Table1[[#This Row],[Regular Taxes Owed]],0)</f>
        <v>0</v>
      </c>
      <c r="Q5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7" s="1">
        <f>Table1[[#This Row],[Effective Additional Child Tax Credit]]+Table1[[#This Row],[Eitc]]</f>
        <v>0</v>
      </c>
      <c r="S547" s="9">
        <f>Table1[[#This Row],[Regular Taxes Owed - Effective Child Tax Credit]]-Table1[[#This Row],[Total Credits]]</f>
        <v>46919.5</v>
      </c>
      <c r="T547" s="9">
        <f>Table1[[#This Row],[taxable wages]]+interest+dividends+short_term_capital_gains+long_term_capital_gains-(charitable_donations+mortgage_interest)</f>
        <v>255000</v>
      </c>
      <c r="U547" s="9">
        <f>MAX(amt_exemption-amt_exemption_phase_out_rate*MAX(Table1[[#This Row],[taxable wages]]-amt_phase_out_begins,0),0)</f>
        <v>59975</v>
      </c>
      <c r="V5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50881</v>
      </c>
      <c r="W547" s="1">
        <f>IF(AND(Table1[[#This Row],[AMT Taxes]]&gt;Table1[[#This Row],[Regular Taxes Owed]],Table1[[#This Row],[AMT Taxes]]&gt;0),Table1[[#This Row],[AMT Taxes]]-Table1[[#This Row],[Regular Taxes Owed]],0)</f>
        <v>3961.5</v>
      </c>
      <c r="X547" s="9">
        <f>Table1[[#This Row],[Extra Taxes From Amt]]+Table1[[#This Row],[Federal Taxes Owed (No AMT)]]</f>
        <v>50881</v>
      </c>
      <c r="Y547" s="9">
        <f>IF(Table1[[#This Row],[taxable wages]]&gt;obamacare_surcharge_amount,obamacare_surcharge_percent*(Table1[[#This Row],[taxable wages]]-obamacare_surcharge_amount),0)</f>
        <v>45</v>
      </c>
      <c r="Z547" s="9">
        <f>Table1[[#This Row],[Federal Taxes Owed (Includes AMT)]]+Table1[[#This Row],[Obamacare surcharge premium]]</f>
        <v>50926</v>
      </c>
      <c r="AA547" s="9">
        <f>Table1[[#This Row],[taxable wages]]-Table1[[#This Row],[Federal Taxes Owed2]]</f>
        <v>204074</v>
      </c>
      <c r="AB547" s="51">
        <f t="shared" si="46"/>
        <v>0.35899999999999999</v>
      </c>
      <c r="AC547" s="41"/>
      <c r="AD547" s="13"/>
      <c r="AE547" s="13"/>
    </row>
    <row r="548" spans="2:31" x14ac:dyDescent="0.3">
      <c r="B548" s="41">
        <f t="shared" si="47"/>
        <v>255500</v>
      </c>
      <c r="C548" s="1">
        <f>Table1[[#This Row],[taxable wages]]</f>
        <v>255500</v>
      </c>
      <c r="D548" s="1">
        <f>Table1[[#This Row],[taxable wages]]+interest+dividends+short_term_capital_gains+long_term_capital_gains</f>
        <v>255500</v>
      </c>
      <c r="E548" s="1">
        <f>MAX(Table1[[#This Row],[earned income for EITC]:[Agi For Eitc Calc]])</f>
        <v>255500</v>
      </c>
      <c r="F548" s="1">
        <f>Table1[[#This Row],[taxable wages]]+interest+dividends+short_term_capital_gains+long_term_capital_gains-(trad_ira_contributions+MIN(student_loan_interest_cap,student_loan_interest))</f>
        <v>255500</v>
      </c>
      <c r="G548" s="1">
        <f t="shared" si="43"/>
        <v>12600</v>
      </c>
      <c r="H548" s="1">
        <f t="shared" si="44"/>
        <v>28350</v>
      </c>
      <c r="I548" s="1">
        <f>MAX(0,Table1[[#This Row],[Agi]]-Table1[[#This Row],[Exemptions]]-Table1[[#This Row],[Effective Deductions]])</f>
        <v>214550</v>
      </c>
      <c r="J5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47059.5</v>
      </c>
      <c r="K548" s="1">
        <f t="shared" si="45"/>
        <v>5000</v>
      </c>
      <c r="L548" s="1">
        <f>IF(Table1[[#This Row],[Agi]]&gt;ctc_phase_out_begins,ctc_phase_out_rate*(Table1[[#This Row],[Agi]]-ctc_phase_out_begins),0)</f>
        <v>7275</v>
      </c>
      <c r="M548" s="1">
        <f>MAX(Table1[[#This Row],[Child Tax Credit]]-Table1[[#This Row],[Child Tax Credit Phase Out]],0)</f>
        <v>0</v>
      </c>
      <c r="N548" s="1">
        <f>MAX(Table1[[#This Row],[Regular Taxes Owed]]-Table1[[#This Row],[Effective Child Tax Credit]],0)</f>
        <v>47059.5</v>
      </c>
      <c r="O548" s="1">
        <f>MAX(MIN((Table1[[#This Row],[taxable wages]]-3000)*0.15,1000*num_kids_16_younger),0)</f>
        <v>5000</v>
      </c>
      <c r="P548" s="9">
        <f>IF(Table1[[#This Row],[Effective Child Tax Credit]]&gt;Table1[[#This Row],[Regular Taxes Owed]],Table1[[#This Row],[Additional Child Tax Credit ]]-Table1[[#This Row],[Regular Taxes Owed]],0)</f>
        <v>0</v>
      </c>
      <c r="Q5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8" s="1">
        <f>Table1[[#This Row],[Effective Additional Child Tax Credit]]+Table1[[#This Row],[Eitc]]</f>
        <v>0</v>
      </c>
      <c r="S548" s="9">
        <f>Table1[[#This Row],[Regular Taxes Owed - Effective Child Tax Credit]]-Table1[[#This Row],[Total Credits]]</f>
        <v>47059.5</v>
      </c>
      <c r="T548" s="9">
        <f>Table1[[#This Row],[taxable wages]]+interest+dividends+short_term_capital_gains+long_term_capital_gains-(charitable_donations+mortgage_interest)</f>
        <v>255500</v>
      </c>
      <c r="U548" s="9">
        <f>MAX(amt_exemption-amt_exemption_phase_out_rate*MAX(Table1[[#This Row],[taxable wages]]-amt_phase_out_begins,0),0)</f>
        <v>59850</v>
      </c>
      <c r="V5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51056</v>
      </c>
      <c r="W548" s="1">
        <f>IF(AND(Table1[[#This Row],[AMT Taxes]]&gt;Table1[[#This Row],[Regular Taxes Owed]],Table1[[#This Row],[AMT Taxes]]&gt;0),Table1[[#This Row],[AMT Taxes]]-Table1[[#This Row],[Regular Taxes Owed]],0)</f>
        <v>3996.5</v>
      </c>
      <c r="X548" s="9">
        <f>Table1[[#This Row],[Extra Taxes From Amt]]+Table1[[#This Row],[Federal Taxes Owed (No AMT)]]</f>
        <v>51056</v>
      </c>
      <c r="Y548" s="9">
        <f>IF(Table1[[#This Row],[taxable wages]]&gt;obamacare_surcharge_amount,obamacare_surcharge_percent*(Table1[[#This Row],[taxable wages]]-obamacare_surcharge_amount),0)</f>
        <v>49.499999999999993</v>
      </c>
      <c r="Z548" s="9">
        <f>Table1[[#This Row],[Federal Taxes Owed (Includes AMT)]]+Table1[[#This Row],[Obamacare surcharge premium]]</f>
        <v>51105.5</v>
      </c>
      <c r="AA548" s="9">
        <f>Table1[[#This Row],[taxable wages]]-Table1[[#This Row],[Federal Taxes Owed2]]</f>
        <v>204394.5</v>
      </c>
      <c r="AB548" s="51">
        <f t="shared" si="46"/>
        <v>0.35899999999999999</v>
      </c>
      <c r="AC548" s="41"/>
      <c r="AD548" s="13"/>
      <c r="AE548" s="13"/>
    </row>
    <row r="549" spans="2:31" x14ac:dyDescent="0.3">
      <c r="B549" s="41">
        <f t="shared" si="47"/>
        <v>256000</v>
      </c>
      <c r="C549" s="1">
        <f>Table1[[#This Row],[taxable wages]]</f>
        <v>256000</v>
      </c>
      <c r="D549" s="1">
        <f>Table1[[#This Row],[taxable wages]]+interest+dividends+short_term_capital_gains+long_term_capital_gains</f>
        <v>256000</v>
      </c>
      <c r="E549" s="1">
        <f>MAX(Table1[[#This Row],[earned income for EITC]:[Agi For Eitc Calc]])</f>
        <v>256000</v>
      </c>
      <c r="F549" s="1">
        <f>Table1[[#This Row],[taxable wages]]+interest+dividends+short_term_capital_gains+long_term_capital_gains-(trad_ira_contributions+MIN(student_loan_interest_cap,student_loan_interest))</f>
        <v>256000</v>
      </c>
      <c r="G549" s="1">
        <f t="shared" si="43"/>
        <v>12600</v>
      </c>
      <c r="H549" s="1">
        <f t="shared" si="44"/>
        <v>28350</v>
      </c>
      <c r="I549" s="1">
        <f>MAX(0,Table1[[#This Row],[Agi]]-Table1[[#This Row],[Exemptions]]-Table1[[#This Row],[Effective Deductions]])</f>
        <v>215050</v>
      </c>
      <c r="J5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47199.5</v>
      </c>
      <c r="K549" s="1">
        <f t="shared" si="45"/>
        <v>5000</v>
      </c>
      <c r="L549" s="1">
        <f>IF(Table1[[#This Row],[Agi]]&gt;ctc_phase_out_begins,ctc_phase_out_rate*(Table1[[#This Row],[Agi]]-ctc_phase_out_begins),0)</f>
        <v>7300</v>
      </c>
      <c r="M549" s="1">
        <f>MAX(Table1[[#This Row],[Child Tax Credit]]-Table1[[#This Row],[Child Tax Credit Phase Out]],0)</f>
        <v>0</v>
      </c>
      <c r="N549" s="1">
        <f>MAX(Table1[[#This Row],[Regular Taxes Owed]]-Table1[[#This Row],[Effective Child Tax Credit]],0)</f>
        <v>47199.5</v>
      </c>
      <c r="O549" s="1">
        <f>MAX(MIN((Table1[[#This Row],[taxable wages]]-3000)*0.15,1000*num_kids_16_younger),0)</f>
        <v>5000</v>
      </c>
      <c r="P549" s="9">
        <f>IF(Table1[[#This Row],[Effective Child Tax Credit]]&gt;Table1[[#This Row],[Regular Taxes Owed]],Table1[[#This Row],[Additional Child Tax Credit ]]-Table1[[#This Row],[Regular Taxes Owed]],0)</f>
        <v>0</v>
      </c>
      <c r="Q5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49" s="1">
        <f>Table1[[#This Row],[Effective Additional Child Tax Credit]]+Table1[[#This Row],[Eitc]]</f>
        <v>0</v>
      </c>
      <c r="S549" s="9">
        <f>Table1[[#This Row],[Regular Taxes Owed - Effective Child Tax Credit]]-Table1[[#This Row],[Total Credits]]</f>
        <v>47199.5</v>
      </c>
      <c r="T549" s="9">
        <f>Table1[[#This Row],[taxable wages]]+interest+dividends+short_term_capital_gains+long_term_capital_gains-(charitable_donations+mortgage_interest)</f>
        <v>256000</v>
      </c>
      <c r="U549" s="9">
        <f>MAX(amt_exemption-amt_exemption_phase_out_rate*MAX(Table1[[#This Row],[taxable wages]]-amt_phase_out_begins,0),0)</f>
        <v>59725</v>
      </c>
      <c r="V5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51231</v>
      </c>
      <c r="W549" s="1">
        <f>IF(AND(Table1[[#This Row],[AMT Taxes]]&gt;Table1[[#This Row],[Regular Taxes Owed]],Table1[[#This Row],[AMT Taxes]]&gt;0),Table1[[#This Row],[AMT Taxes]]-Table1[[#This Row],[Regular Taxes Owed]],0)</f>
        <v>4031.5</v>
      </c>
      <c r="X549" s="9">
        <f>Table1[[#This Row],[Extra Taxes From Amt]]+Table1[[#This Row],[Federal Taxes Owed (No AMT)]]</f>
        <v>51231</v>
      </c>
      <c r="Y549" s="9">
        <f>IF(Table1[[#This Row],[taxable wages]]&gt;obamacare_surcharge_amount,obamacare_surcharge_percent*(Table1[[#This Row],[taxable wages]]-obamacare_surcharge_amount),0)</f>
        <v>53.999999999999993</v>
      </c>
      <c r="Z549" s="9">
        <f>Table1[[#This Row],[Federal Taxes Owed (Includes AMT)]]+Table1[[#This Row],[Obamacare surcharge premium]]</f>
        <v>51285</v>
      </c>
      <c r="AA549" s="9">
        <f>Table1[[#This Row],[taxable wages]]-Table1[[#This Row],[Federal Taxes Owed2]]</f>
        <v>204715</v>
      </c>
      <c r="AB549" s="51">
        <f t="shared" si="46"/>
        <v>0.35899999999999999</v>
      </c>
      <c r="AC549" s="41"/>
      <c r="AD549" s="13"/>
      <c r="AE549" s="13"/>
    </row>
    <row r="550" spans="2:31" x14ac:dyDescent="0.3">
      <c r="B550" s="41">
        <f t="shared" si="47"/>
        <v>256500</v>
      </c>
      <c r="C550" s="1">
        <f>Table1[[#This Row],[taxable wages]]</f>
        <v>256500</v>
      </c>
      <c r="D550" s="1">
        <f>Table1[[#This Row],[taxable wages]]+interest+dividends+short_term_capital_gains+long_term_capital_gains</f>
        <v>256500</v>
      </c>
      <c r="E550" s="1">
        <f>MAX(Table1[[#This Row],[earned income for EITC]:[Agi For Eitc Calc]])</f>
        <v>256500</v>
      </c>
      <c r="F550" s="1">
        <f>Table1[[#This Row],[taxable wages]]+interest+dividends+short_term_capital_gains+long_term_capital_gains-(trad_ira_contributions+MIN(student_loan_interest_cap,student_loan_interest))</f>
        <v>256500</v>
      </c>
      <c r="G550" s="1">
        <f t="shared" ref="G550:G613" si="48">MAX(standard_deduction,mortgage_interest+real_estate_property_taxes+state_income_tax_paid+charitable_donations+medical_expenses)</f>
        <v>12600</v>
      </c>
      <c r="H550" s="1">
        <f t="shared" ref="H550:H613" si="49">num_people_in_family*personal_exemption</f>
        <v>28350</v>
      </c>
      <c r="I550" s="1">
        <f>MAX(0,Table1[[#This Row],[Agi]]-Table1[[#This Row],[Exemptions]]-Table1[[#This Row],[Effective Deductions]])</f>
        <v>215550</v>
      </c>
      <c r="J5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47339.5</v>
      </c>
      <c r="K550" s="1">
        <f t="shared" ref="K550:K613" si="50">child_tax_credit*num_kids_16_younger</f>
        <v>5000</v>
      </c>
      <c r="L550" s="1">
        <f>IF(Table1[[#This Row],[Agi]]&gt;ctc_phase_out_begins,ctc_phase_out_rate*(Table1[[#This Row],[Agi]]-ctc_phase_out_begins),0)</f>
        <v>7325</v>
      </c>
      <c r="M550" s="1">
        <f>MAX(Table1[[#This Row],[Child Tax Credit]]-Table1[[#This Row],[Child Tax Credit Phase Out]],0)</f>
        <v>0</v>
      </c>
      <c r="N550" s="1">
        <f>MAX(Table1[[#This Row],[Regular Taxes Owed]]-Table1[[#This Row],[Effective Child Tax Credit]],0)</f>
        <v>47339.5</v>
      </c>
      <c r="O550" s="1">
        <f>MAX(MIN((Table1[[#This Row],[taxable wages]]-3000)*0.15,1000*num_kids_16_younger),0)</f>
        <v>5000</v>
      </c>
      <c r="P550" s="9">
        <f>IF(Table1[[#This Row],[Effective Child Tax Credit]]&gt;Table1[[#This Row],[Regular Taxes Owed]],Table1[[#This Row],[Additional Child Tax Credit ]]-Table1[[#This Row],[Regular Taxes Owed]],0)</f>
        <v>0</v>
      </c>
      <c r="Q5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0" s="1">
        <f>Table1[[#This Row],[Effective Additional Child Tax Credit]]+Table1[[#This Row],[Eitc]]</f>
        <v>0</v>
      </c>
      <c r="S550" s="9">
        <f>Table1[[#This Row],[Regular Taxes Owed - Effective Child Tax Credit]]-Table1[[#This Row],[Total Credits]]</f>
        <v>47339.5</v>
      </c>
      <c r="T550" s="9">
        <f>Table1[[#This Row],[taxable wages]]+interest+dividends+short_term_capital_gains+long_term_capital_gains-(charitable_donations+mortgage_interest)</f>
        <v>256500</v>
      </c>
      <c r="U550" s="9">
        <f>MAX(amt_exemption-amt_exemption_phase_out_rate*MAX(Table1[[#This Row],[taxable wages]]-amt_phase_out_begins,0),0)</f>
        <v>59600</v>
      </c>
      <c r="V5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51406</v>
      </c>
      <c r="W550" s="1">
        <f>IF(AND(Table1[[#This Row],[AMT Taxes]]&gt;Table1[[#This Row],[Regular Taxes Owed]],Table1[[#This Row],[AMT Taxes]]&gt;0),Table1[[#This Row],[AMT Taxes]]-Table1[[#This Row],[Regular Taxes Owed]],0)</f>
        <v>4066.5</v>
      </c>
      <c r="X550" s="9">
        <f>Table1[[#This Row],[Extra Taxes From Amt]]+Table1[[#This Row],[Federal Taxes Owed (No AMT)]]</f>
        <v>51406</v>
      </c>
      <c r="Y550" s="9">
        <f>IF(Table1[[#This Row],[taxable wages]]&gt;obamacare_surcharge_amount,obamacare_surcharge_percent*(Table1[[#This Row],[taxable wages]]-obamacare_surcharge_amount),0)</f>
        <v>58.499999999999993</v>
      </c>
      <c r="Z550" s="9">
        <f>Table1[[#This Row],[Federal Taxes Owed (Includes AMT)]]+Table1[[#This Row],[Obamacare surcharge premium]]</f>
        <v>51464.5</v>
      </c>
      <c r="AA550" s="9">
        <f>Table1[[#This Row],[taxable wages]]-Table1[[#This Row],[Federal Taxes Owed2]]</f>
        <v>205035.5</v>
      </c>
      <c r="AB550" s="51">
        <f t="shared" si="46"/>
        <v>0.35899999999999999</v>
      </c>
      <c r="AC550" s="41"/>
      <c r="AD550" s="13"/>
      <c r="AE550" s="13"/>
    </row>
    <row r="551" spans="2:31" x14ac:dyDescent="0.3">
      <c r="B551" s="41">
        <f t="shared" si="47"/>
        <v>257000</v>
      </c>
      <c r="C551" s="1">
        <f>Table1[[#This Row],[taxable wages]]</f>
        <v>257000</v>
      </c>
      <c r="D551" s="1">
        <f>Table1[[#This Row],[taxable wages]]+interest+dividends+short_term_capital_gains+long_term_capital_gains</f>
        <v>257000</v>
      </c>
      <c r="E551" s="1">
        <f>MAX(Table1[[#This Row],[earned income for EITC]:[Agi For Eitc Calc]])</f>
        <v>257000</v>
      </c>
      <c r="F551" s="1">
        <f>Table1[[#This Row],[taxable wages]]+interest+dividends+short_term_capital_gains+long_term_capital_gains-(trad_ira_contributions+MIN(student_loan_interest_cap,student_loan_interest))</f>
        <v>257000</v>
      </c>
      <c r="G551" s="1">
        <f t="shared" si="48"/>
        <v>12600</v>
      </c>
      <c r="H551" s="1">
        <f t="shared" si="49"/>
        <v>28350</v>
      </c>
      <c r="I551" s="1">
        <f>MAX(0,Table1[[#This Row],[Agi]]-Table1[[#This Row],[Exemptions]]-Table1[[#This Row],[Effective Deductions]])</f>
        <v>216050</v>
      </c>
      <c r="J5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47479.5</v>
      </c>
      <c r="K551" s="1">
        <f t="shared" si="50"/>
        <v>5000</v>
      </c>
      <c r="L551" s="1">
        <f>IF(Table1[[#This Row],[Agi]]&gt;ctc_phase_out_begins,ctc_phase_out_rate*(Table1[[#This Row],[Agi]]-ctc_phase_out_begins),0)</f>
        <v>7350</v>
      </c>
      <c r="M551" s="1">
        <f>MAX(Table1[[#This Row],[Child Tax Credit]]-Table1[[#This Row],[Child Tax Credit Phase Out]],0)</f>
        <v>0</v>
      </c>
      <c r="N551" s="1">
        <f>MAX(Table1[[#This Row],[Regular Taxes Owed]]-Table1[[#This Row],[Effective Child Tax Credit]],0)</f>
        <v>47479.5</v>
      </c>
      <c r="O551" s="1">
        <f>MAX(MIN((Table1[[#This Row],[taxable wages]]-3000)*0.15,1000*num_kids_16_younger),0)</f>
        <v>5000</v>
      </c>
      <c r="P551" s="9">
        <f>IF(Table1[[#This Row],[Effective Child Tax Credit]]&gt;Table1[[#This Row],[Regular Taxes Owed]],Table1[[#This Row],[Additional Child Tax Credit ]]-Table1[[#This Row],[Regular Taxes Owed]],0)</f>
        <v>0</v>
      </c>
      <c r="Q5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1" s="1">
        <f>Table1[[#This Row],[Effective Additional Child Tax Credit]]+Table1[[#This Row],[Eitc]]</f>
        <v>0</v>
      </c>
      <c r="S551" s="9">
        <f>Table1[[#This Row],[Regular Taxes Owed - Effective Child Tax Credit]]-Table1[[#This Row],[Total Credits]]</f>
        <v>47479.5</v>
      </c>
      <c r="T551" s="9">
        <f>Table1[[#This Row],[taxable wages]]+interest+dividends+short_term_capital_gains+long_term_capital_gains-(charitable_donations+mortgage_interest)</f>
        <v>257000</v>
      </c>
      <c r="U551" s="9">
        <f>MAX(amt_exemption-amt_exemption_phase_out_rate*MAX(Table1[[#This Row],[taxable wages]]-amt_phase_out_begins,0),0)</f>
        <v>59475</v>
      </c>
      <c r="V5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51581</v>
      </c>
      <c r="W551" s="1">
        <f>IF(AND(Table1[[#This Row],[AMT Taxes]]&gt;Table1[[#This Row],[Regular Taxes Owed]],Table1[[#This Row],[AMT Taxes]]&gt;0),Table1[[#This Row],[AMT Taxes]]-Table1[[#This Row],[Regular Taxes Owed]],0)</f>
        <v>4101.5</v>
      </c>
      <c r="X551" s="9">
        <f>Table1[[#This Row],[Extra Taxes From Amt]]+Table1[[#This Row],[Federal Taxes Owed (No AMT)]]</f>
        <v>51581</v>
      </c>
      <c r="Y551" s="9">
        <f>IF(Table1[[#This Row],[taxable wages]]&gt;obamacare_surcharge_amount,obamacare_surcharge_percent*(Table1[[#This Row],[taxable wages]]-obamacare_surcharge_amount),0)</f>
        <v>62.999999999999993</v>
      </c>
      <c r="Z551" s="9">
        <f>Table1[[#This Row],[Federal Taxes Owed (Includes AMT)]]+Table1[[#This Row],[Obamacare surcharge premium]]</f>
        <v>51644</v>
      </c>
      <c r="AA551" s="9">
        <f>Table1[[#This Row],[taxable wages]]-Table1[[#This Row],[Federal Taxes Owed2]]</f>
        <v>205356</v>
      </c>
      <c r="AB551" s="51">
        <f t="shared" ref="AB551:AB614" si="51">(Z551-Z550)/(B551-B550)</f>
        <v>0.35899999999999999</v>
      </c>
      <c r="AC551" s="41"/>
      <c r="AD551" s="13"/>
      <c r="AE551" s="13"/>
    </row>
    <row r="552" spans="2:31" x14ac:dyDescent="0.3">
      <c r="B552" s="41">
        <f t="shared" ref="B552:B615" si="52">B551+500</f>
        <v>257500</v>
      </c>
      <c r="C552" s="1">
        <f>Table1[[#This Row],[taxable wages]]</f>
        <v>257500</v>
      </c>
      <c r="D552" s="1">
        <f>Table1[[#This Row],[taxable wages]]+interest+dividends+short_term_capital_gains+long_term_capital_gains</f>
        <v>257500</v>
      </c>
      <c r="E552" s="1">
        <f>MAX(Table1[[#This Row],[earned income for EITC]:[Agi For Eitc Calc]])</f>
        <v>257500</v>
      </c>
      <c r="F552" s="1">
        <f>Table1[[#This Row],[taxable wages]]+interest+dividends+short_term_capital_gains+long_term_capital_gains-(trad_ira_contributions+MIN(student_loan_interest_cap,student_loan_interest))</f>
        <v>257500</v>
      </c>
      <c r="G552" s="1">
        <f t="shared" si="48"/>
        <v>12600</v>
      </c>
      <c r="H552" s="1">
        <f t="shared" si="49"/>
        <v>28350</v>
      </c>
      <c r="I552" s="1">
        <f>MAX(0,Table1[[#This Row],[Agi]]-Table1[[#This Row],[Exemptions]]-Table1[[#This Row],[Effective Deductions]])</f>
        <v>216550</v>
      </c>
      <c r="J5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47619.5</v>
      </c>
      <c r="K552" s="1">
        <f t="shared" si="50"/>
        <v>5000</v>
      </c>
      <c r="L552" s="1">
        <f>IF(Table1[[#This Row],[Agi]]&gt;ctc_phase_out_begins,ctc_phase_out_rate*(Table1[[#This Row],[Agi]]-ctc_phase_out_begins),0)</f>
        <v>7375</v>
      </c>
      <c r="M552" s="1">
        <f>MAX(Table1[[#This Row],[Child Tax Credit]]-Table1[[#This Row],[Child Tax Credit Phase Out]],0)</f>
        <v>0</v>
      </c>
      <c r="N552" s="1">
        <f>MAX(Table1[[#This Row],[Regular Taxes Owed]]-Table1[[#This Row],[Effective Child Tax Credit]],0)</f>
        <v>47619.5</v>
      </c>
      <c r="O552" s="1">
        <f>MAX(MIN((Table1[[#This Row],[taxable wages]]-3000)*0.15,1000*num_kids_16_younger),0)</f>
        <v>5000</v>
      </c>
      <c r="P552" s="9">
        <f>IF(Table1[[#This Row],[Effective Child Tax Credit]]&gt;Table1[[#This Row],[Regular Taxes Owed]],Table1[[#This Row],[Additional Child Tax Credit ]]-Table1[[#This Row],[Regular Taxes Owed]],0)</f>
        <v>0</v>
      </c>
      <c r="Q5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2" s="1">
        <f>Table1[[#This Row],[Effective Additional Child Tax Credit]]+Table1[[#This Row],[Eitc]]</f>
        <v>0</v>
      </c>
      <c r="S552" s="9">
        <f>Table1[[#This Row],[Regular Taxes Owed - Effective Child Tax Credit]]-Table1[[#This Row],[Total Credits]]</f>
        <v>47619.5</v>
      </c>
      <c r="T552" s="9">
        <f>Table1[[#This Row],[taxable wages]]+interest+dividends+short_term_capital_gains+long_term_capital_gains-(charitable_donations+mortgage_interest)</f>
        <v>257500</v>
      </c>
      <c r="U552" s="9">
        <f>MAX(amt_exemption-amt_exemption_phase_out_rate*MAX(Table1[[#This Row],[taxable wages]]-amt_phase_out_begins,0),0)</f>
        <v>59350</v>
      </c>
      <c r="V5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51756</v>
      </c>
      <c r="W552" s="1">
        <f>IF(AND(Table1[[#This Row],[AMT Taxes]]&gt;Table1[[#This Row],[Regular Taxes Owed]],Table1[[#This Row],[AMT Taxes]]&gt;0),Table1[[#This Row],[AMT Taxes]]-Table1[[#This Row],[Regular Taxes Owed]],0)</f>
        <v>4136.5</v>
      </c>
      <c r="X552" s="9">
        <f>Table1[[#This Row],[Extra Taxes From Amt]]+Table1[[#This Row],[Federal Taxes Owed (No AMT)]]</f>
        <v>51756</v>
      </c>
      <c r="Y552" s="9">
        <f>IF(Table1[[#This Row],[taxable wages]]&gt;obamacare_surcharge_amount,obamacare_surcharge_percent*(Table1[[#This Row],[taxable wages]]-obamacare_surcharge_amount),0)</f>
        <v>67.5</v>
      </c>
      <c r="Z552" s="9">
        <f>Table1[[#This Row],[Federal Taxes Owed (Includes AMT)]]+Table1[[#This Row],[Obamacare surcharge premium]]</f>
        <v>51823.5</v>
      </c>
      <c r="AA552" s="9">
        <f>Table1[[#This Row],[taxable wages]]-Table1[[#This Row],[Federal Taxes Owed2]]</f>
        <v>205676.5</v>
      </c>
      <c r="AB552" s="51">
        <f t="shared" si="51"/>
        <v>0.35899999999999999</v>
      </c>
      <c r="AC552" s="41"/>
      <c r="AD552" s="13"/>
      <c r="AE552" s="13"/>
    </row>
    <row r="553" spans="2:31" x14ac:dyDescent="0.3">
      <c r="B553" s="41">
        <f t="shared" si="52"/>
        <v>258000</v>
      </c>
      <c r="C553" s="1">
        <f>Table1[[#This Row],[taxable wages]]</f>
        <v>258000</v>
      </c>
      <c r="D553" s="1">
        <f>Table1[[#This Row],[taxable wages]]+interest+dividends+short_term_capital_gains+long_term_capital_gains</f>
        <v>258000</v>
      </c>
      <c r="E553" s="1">
        <f>MAX(Table1[[#This Row],[earned income for EITC]:[Agi For Eitc Calc]])</f>
        <v>258000</v>
      </c>
      <c r="F553" s="1">
        <f>Table1[[#This Row],[taxable wages]]+interest+dividends+short_term_capital_gains+long_term_capital_gains-(trad_ira_contributions+MIN(student_loan_interest_cap,student_loan_interest))</f>
        <v>258000</v>
      </c>
      <c r="G553" s="1">
        <f t="shared" si="48"/>
        <v>12600</v>
      </c>
      <c r="H553" s="1">
        <f t="shared" si="49"/>
        <v>28350</v>
      </c>
      <c r="I553" s="1">
        <f>MAX(0,Table1[[#This Row],[Agi]]-Table1[[#This Row],[Exemptions]]-Table1[[#This Row],[Effective Deductions]])</f>
        <v>217050</v>
      </c>
      <c r="J5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47759.5</v>
      </c>
      <c r="K553" s="1">
        <f t="shared" si="50"/>
        <v>5000</v>
      </c>
      <c r="L553" s="1">
        <f>IF(Table1[[#This Row],[Agi]]&gt;ctc_phase_out_begins,ctc_phase_out_rate*(Table1[[#This Row],[Agi]]-ctc_phase_out_begins),0)</f>
        <v>7400</v>
      </c>
      <c r="M553" s="1">
        <f>MAX(Table1[[#This Row],[Child Tax Credit]]-Table1[[#This Row],[Child Tax Credit Phase Out]],0)</f>
        <v>0</v>
      </c>
      <c r="N553" s="1">
        <f>MAX(Table1[[#This Row],[Regular Taxes Owed]]-Table1[[#This Row],[Effective Child Tax Credit]],0)</f>
        <v>47759.5</v>
      </c>
      <c r="O553" s="1">
        <f>MAX(MIN((Table1[[#This Row],[taxable wages]]-3000)*0.15,1000*num_kids_16_younger),0)</f>
        <v>5000</v>
      </c>
      <c r="P553" s="9">
        <f>IF(Table1[[#This Row],[Effective Child Tax Credit]]&gt;Table1[[#This Row],[Regular Taxes Owed]],Table1[[#This Row],[Additional Child Tax Credit ]]-Table1[[#This Row],[Regular Taxes Owed]],0)</f>
        <v>0</v>
      </c>
      <c r="Q5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3" s="1">
        <f>Table1[[#This Row],[Effective Additional Child Tax Credit]]+Table1[[#This Row],[Eitc]]</f>
        <v>0</v>
      </c>
      <c r="S553" s="9">
        <f>Table1[[#This Row],[Regular Taxes Owed - Effective Child Tax Credit]]-Table1[[#This Row],[Total Credits]]</f>
        <v>47759.5</v>
      </c>
      <c r="T553" s="9">
        <f>Table1[[#This Row],[taxable wages]]+interest+dividends+short_term_capital_gains+long_term_capital_gains-(charitable_donations+mortgage_interest)</f>
        <v>258000</v>
      </c>
      <c r="U553" s="9">
        <f>MAX(amt_exemption-amt_exemption_phase_out_rate*MAX(Table1[[#This Row],[taxable wages]]-amt_phase_out_begins,0),0)</f>
        <v>59225</v>
      </c>
      <c r="V5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51931</v>
      </c>
      <c r="W553" s="1">
        <f>IF(AND(Table1[[#This Row],[AMT Taxes]]&gt;Table1[[#This Row],[Regular Taxes Owed]],Table1[[#This Row],[AMT Taxes]]&gt;0),Table1[[#This Row],[AMT Taxes]]-Table1[[#This Row],[Regular Taxes Owed]],0)</f>
        <v>4171.5</v>
      </c>
      <c r="X553" s="9">
        <f>Table1[[#This Row],[Extra Taxes From Amt]]+Table1[[#This Row],[Federal Taxes Owed (No AMT)]]</f>
        <v>51931</v>
      </c>
      <c r="Y553" s="9">
        <f>IF(Table1[[#This Row],[taxable wages]]&gt;obamacare_surcharge_amount,obamacare_surcharge_percent*(Table1[[#This Row],[taxable wages]]-obamacare_surcharge_amount),0)</f>
        <v>72</v>
      </c>
      <c r="Z553" s="9">
        <f>Table1[[#This Row],[Federal Taxes Owed (Includes AMT)]]+Table1[[#This Row],[Obamacare surcharge premium]]</f>
        <v>52003</v>
      </c>
      <c r="AA553" s="9">
        <f>Table1[[#This Row],[taxable wages]]-Table1[[#This Row],[Federal Taxes Owed2]]</f>
        <v>205997</v>
      </c>
      <c r="AB553" s="51">
        <f t="shared" si="51"/>
        <v>0.35899999999999999</v>
      </c>
      <c r="AC553" s="41"/>
      <c r="AD553" s="13"/>
      <c r="AE553" s="13"/>
    </row>
    <row r="554" spans="2:31" x14ac:dyDescent="0.3">
      <c r="B554" s="41">
        <f t="shared" si="52"/>
        <v>258500</v>
      </c>
      <c r="C554" s="1">
        <f>Table1[[#This Row],[taxable wages]]</f>
        <v>258500</v>
      </c>
      <c r="D554" s="1">
        <f>Table1[[#This Row],[taxable wages]]+interest+dividends+short_term_capital_gains+long_term_capital_gains</f>
        <v>258500</v>
      </c>
      <c r="E554" s="1">
        <f>MAX(Table1[[#This Row],[earned income for EITC]:[Agi For Eitc Calc]])</f>
        <v>258500</v>
      </c>
      <c r="F554" s="1">
        <f>Table1[[#This Row],[taxable wages]]+interest+dividends+short_term_capital_gains+long_term_capital_gains-(trad_ira_contributions+MIN(student_loan_interest_cap,student_loan_interest))</f>
        <v>258500</v>
      </c>
      <c r="G554" s="1">
        <f t="shared" si="48"/>
        <v>12600</v>
      </c>
      <c r="H554" s="1">
        <f t="shared" si="49"/>
        <v>28350</v>
      </c>
      <c r="I554" s="1">
        <f>MAX(0,Table1[[#This Row],[Agi]]-Table1[[#This Row],[Exemptions]]-Table1[[#This Row],[Effective Deductions]])</f>
        <v>217550</v>
      </c>
      <c r="J5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47899.5</v>
      </c>
      <c r="K554" s="1">
        <f t="shared" si="50"/>
        <v>5000</v>
      </c>
      <c r="L554" s="1">
        <f>IF(Table1[[#This Row],[Agi]]&gt;ctc_phase_out_begins,ctc_phase_out_rate*(Table1[[#This Row],[Agi]]-ctc_phase_out_begins),0)</f>
        <v>7425</v>
      </c>
      <c r="M554" s="1">
        <f>MAX(Table1[[#This Row],[Child Tax Credit]]-Table1[[#This Row],[Child Tax Credit Phase Out]],0)</f>
        <v>0</v>
      </c>
      <c r="N554" s="1">
        <f>MAX(Table1[[#This Row],[Regular Taxes Owed]]-Table1[[#This Row],[Effective Child Tax Credit]],0)</f>
        <v>47899.5</v>
      </c>
      <c r="O554" s="1">
        <f>MAX(MIN((Table1[[#This Row],[taxable wages]]-3000)*0.15,1000*num_kids_16_younger),0)</f>
        <v>5000</v>
      </c>
      <c r="P554" s="9">
        <f>IF(Table1[[#This Row],[Effective Child Tax Credit]]&gt;Table1[[#This Row],[Regular Taxes Owed]],Table1[[#This Row],[Additional Child Tax Credit ]]-Table1[[#This Row],[Regular Taxes Owed]],0)</f>
        <v>0</v>
      </c>
      <c r="Q5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4" s="1">
        <f>Table1[[#This Row],[Effective Additional Child Tax Credit]]+Table1[[#This Row],[Eitc]]</f>
        <v>0</v>
      </c>
      <c r="S554" s="9">
        <f>Table1[[#This Row],[Regular Taxes Owed - Effective Child Tax Credit]]-Table1[[#This Row],[Total Credits]]</f>
        <v>47899.5</v>
      </c>
      <c r="T554" s="9">
        <f>Table1[[#This Row],[taxable wages]]+interest+dividends+short_term_capital_gains+long_term_capital_gains-(charitable_donations+mortgage_interest)</f>
        <v>258500</v>
      </c>
      <c r="U554" s="9">
        <f>MAX(amt_exemption-amt_exemption_phase_out_rate*MAX(Table1[[#This Row],[taxable wages]]-amt_phase_out_begins,0),0)</f>
        <v>59100</v>
      </c>
      <c r="V5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52106</v>
      </c>
      <c r="W554" s="1">
        <f>IF(AND(Table1[[#This Row],[AMT Taxes]]&gt;Table1[[#This Row],[Regular Taxes Owed]],Table1[[#This Row],[AMT Taxes]]&gt;0),Table1[[#This Row],[AMT Taxes]]-Table1[[#This Row],[Regular Taxes Owed]],0)</f>
        <v>4206.5</v>
      </c>
      <c r="X554" s="9">
        <f>Table1[[#This Row],[Extra Taxes From Amt]]+Table1[[#This Row],[Federal Taxes Owed (No AMT)]]</f>
        <v>52106</v>
      </c>
      <c r="Y554" s="9">
        <f>IF(Table1[[#This Row],[taxable wages]]&gt;obamacare_surcharge_amount,obamacare_surcharge_percent*(Table1[[#This Row],[taxable wages]]-obamacare_surcharge_amount),0)</f>
        <v>76.5</v>
      </c>
      <c r="Z554" s="9">
        <f>Table1[[#This Row],[Federal Taxes Owed (Includes AMT)]]+Table1[[#This Row],[Obamacare surcharge premium]]</f>
        <v>52182.5</v>
      </c>
      <c r="AA554" s="9">
        <f>Table1[[#This Row],[taxable wages]]-Table1[[#This Row],[Federal Taxes Owed2]]</f>
        <v>206317.5</v>
      </c>
      <c r="AB554" s="51">
        <f t="shared" si="51"/>
        <v>0.35899999999999999</v>
      </c>
      <c r="AC554" s="41"/>
      <c r="AD554" s="13"/>
      <c r="AE554" s="13"/>
    </row>
    <row r="555" spans="2:31" x14ac:dyDescent="0.3">
      <c r="B555" s="41">
        <f t="shared" si="52"/>
        <v>259000</v>
      </c>
      <c r="C555" s="1">
        <f>Table1[[#This Row],[taxable wages]]</f>
        <v>259000</v>
      </c>
      <c r="D555" s="1">
        <f>Table1[[#This Row],[taxable wages]]+interest+dividends+short_term_capital_gains+long_term_capital_gains</f>
        <v>259000</v>
      </c>
      <c r="E555" s="1">
        <f>MAX(Table1[[#This Row],[earned income for EITC]:[Agi For Eitc Calc]])</f>
        <v>259000</v>
      </c>
      <c r="F555" s="1">
        <f>Table1[[#This Row],[taxable wages]]+interest+dividends+short_term_capital_gains+long_term_capital_gains-(trad_ira_contributions+MIN(student_loan_interest_cap,student_loan_interest))</f>
        <v>259000</v>
      </c>
      <c r="G555" s="1">
        <f t="shared" si="48"/>
        <v>12600</v>
      </c>
      <c r="H555" s="1">
        <f t="shared" si="49"/>
        <v>28350</v>
      </c>
      <c r="I555" s="1">
        <f>MAX(0,Table1[[#This Row],[Agi]]-Table1[[#This Row],[Exemptions]]-Table1[[#This Row],[Effective Deductions]])</f>
        <v>218050</v>
      </c>
      <c r="J5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48039.5</v>
      </c>
      <c r="K555" s="1">
        <f t="shared" si="50"/>
        <v>5000</v>
      </c>
      <c r="L555" s="1">
        <f>IF(Table1[[#This Row],[Agi]]&gt;ctc_phase_out_begins,ctc_phase_out_rate*(Table1[[#This Row],[Agi]]-ctc_phase_out_begins),0)</f>
        <v>7450</v>
      </c>
      <c r="M555" s="1">
        <f>MAX(Table1[[#This Row],[Child Tax Credit]]-Table1[[#This Row],[Child Tax Credit Phase Out]],0)</f>
        <v>0</v>
      </c>
      <c r="N555" s="1">
        <f>MAX(Table1[[#This Row],[Regular Taxes Owed]]-Table1[[#This Row],[Effective Child Tax Credit]],0)</f>
        <v>48039.5</v>
      </c>
      <c r="O555" s="1">
        <f>MAX(MIN((Table1[[#This Row],[taxable wages]]-3000)*0.15,1000*num_kids_16_younger),0)</f>
        <v>5000</v>
      </c>
      <c r="P555" s="9">
        <f>IF(Table1[[#This Row],[Effective Child Tax Credit]]&gt;Table1[[#This Row],[Regular Taxes Owed]],Table1[[#This Row],[Additional Child Tax Credit ]]-Table1[[#This Row],[Regular Taxes Owed]],0)</f>
        <v>0</v>
      </c>
      <c r="Q5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5" s="1">
        <f>Table1[[#This Row],[Effective Additional Child Tax Credit]]+Table1[[#This Row],[Eitc]]</f>
        <v>0</v>
      </c>
      <c r="S555" s="9">
        <f>Table1[[#This Row],[Regular Taxes Owed - Effective Child Tax Credit]]-Table1[[#This Row],[Total Credits]]</f>
        <v>48039.5</v>
      </c>
      <c r="T555" s="9">
        <f>Table1[[#This Row],[taxable wages]]+interest+dividends+short_term_capital_gains+long_term_capital_gains-(charitable_donations+mortgage_interest)</f>
        <v>259000</v>
      </c>
      <c r="U555" s="9">
        <f>MAX(amt_exemption-amt_exemption_phase_out_rate*MAX(Table1[[#This Row],[taxable wages]]-amt_phase_out_begins,0),0)</f>
        <v>58975</v>
      </c>
      <c r="V5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52281</v>
      </c>
      <c r="W555" s="1">
        <f>IF(AND(Table1[[#This Row],[AMT Taxes]]&gt;Table1[[#This Row],[Regular Taxes Owed]],Table1[[#This Row],[AMT Taxes]]&gt;0),Table1[[#This Row],[AMT Taxes]]-Table1[[#This Row],[Regular Taxes Owed]],0)</f>
        <v>4241.5</v>
      </c>
      <c r="X555" s="9">
        <f>Table1[[#This Row],[Extra Taxes From Amt]]+Table1[[#This Row],[Federal Taxes Owed (No AMT)]]</f>
        <v>52281</v>
      </c>
      <c r="Y555" s="9">
        <f>IF(Table1[[#This Row],[taxable wages]]&gt;obamacare_surcharge_amount,obamacare_surcharge_percent*(Table1[[#This Row],[taxable wages]]-obamacare_surcharge_amount),0)</f>
        <v>81</v>
      </c>
      <c r="Z555" s="9">
        <f>Table1[[#This Row],[Federal Taxes Owed (Includes AMT)]]+Table1[[#This Row],[Obamacare surcharge premium]]</f>
        <v>52362</v>
      </c>
      <c r="AA555" s="9">
        <f>Table1[[#This Row],[taxable wages]]-Table1[[#This Row],[Federal Taxes Owed2]]</f>
        <v>206638</v>
      </c>
      <c r="AB555" s="51">
        <f t="shared" si="51"/>
        <v>0.35899999999999999</v>
      </c>
      <c r="AC555" s="41"/>
      <c r="AD555" s="13"/>
      <c r="AE555" s="13"/>
    </row>
    <row r="556" spans="2:31" x14ac:dyDescent="0.3">
      <c r="B556" s="41">
        <f t="shared" si="52"/>
        <v>259500</v>
      </c>
      <c r="C556" s="1">
        <f>Table1[[#This Row],[taxable wages]]</f>
        <v>259500</v>
      </c>
      <c r="D556" s="1">
        <f>Table1[[#This Row],[taxable wages]]+interest+dividends+short_term_capital_gains+long_term_capital_gains</f>
        <v>259500</v>
      </c>
      <c r="E556" s="1">
        <f>MAX(Table1[[#This Row],[earned income for EITC]:[Agi For Eitc Calc]])</f>
        <v>259500</v>
      </c>
      <c r="F556" s="1">
        <f>Table1[[#This Row],[taxable wages]]+interest+dividends+short_term_capital_gains+long_term_capital_gains-(trad_ira_contributions+MIN(student_loan_interest_cap,student_loan_interest))</f>
        <v>259500</v>
      </c>
      <c r="G556" s="1">
        <f t="shared" si="48"/>
        <v>12600</v>
      </c>
      <c r="H556" s="1">
        <f t="shared" si="49"/>
        <v>28350</v>
      </c>
      <c r="I556" s="1">
        <f>MAX(0,Table1[[#This Row],[Agi]]-Table1[[#This Row],[Exemptions]]-Table1[[#This Row],[Effective Deductions]])</f>
        <v>218550</v>
      </c>
      <c r="J5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48179.5</v>
      </c>
      <c r="K556" s="1">
        <f t="shared" si="50"/>
        <v>5000</v>
      </c>
      <c r="L556" s="1">
        <f>IF(Table1[[#This Row],[Agi]]&gt;ctc_phase_out_begins,ctc_phase_out_rate*(Table1[[#This Row],[Agi]]-ctc_phase_out_begins),0)</f>
        <v>7475</v>
      </c>
      <c r="M556" s="1">
        <f>MAX(Table1[[#This Row],[Child Tax Credit]]-Table1[[#This Row],[Child Tax Credit Phase Out]],0)</f>
        <v>0</v>
      </c>
      <c r="N556" s="1">
        <f>MAX(Table1[[#This Row],[Regular Taxes Owed]]-Table1[[#This Row],[Effective Child Tax Credit]],0)</f>
        <v>48179.5</v>
      </c>
      <c r="O556" s="1">
        <f>MAX(MIN((Table1[[#This Row],[taxable wages]]-3000)*0.15,1000*num_kids_16_younger),0)</f>
        <v>5000</v>
      </c>
      <c r="P556" s="9">
        <f>IF(Table1[[#This Row],[Effective Child Tax Credit]]&gt;Table1[[#This Row],[Regular Taxes Owed]],Table1[[#This Row],[Additional Child Tax Credit ]]-Table1[[#This Row],[Regular Taxes Owed]],0)</f>
        <v>0</v>
      </c>
      <c r="Q5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6" s="1">
        <f>Table1[[#This Row],[Effective Additional Child Tax Credit]]+Table1[[#This Row],[Eitc]]</f>
        <v>0</v>
      </c>
      <c r="S556" s="9">
        <f>Table1[[#This Row],[Regular Taxes Owed - Effective Child Tax Credit]]-Table1[[#This Row],[Total Credits]]</f>
        <v>48179.5</v>
      </c>
      <c r="T556" s="9">
        <f>Table1[[#This Row],[taxable wages]]+interest+dividends+short_term_capital_gains+long_term_capital_gains-(charitable_donations+mortgage_interest)</f>
        <v>259500</v>
      </c>
      <c r="U556" s="9">
        <f>MAX(amt_exemption-amt_exemption_phase_out_rate*MAX(Table1[[#This Row],[taxable wages]]-amt_phase_out_begins,0),0)</f>
        <v>58850</v>
      </c>
      <c r="V5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52456</v>
      </c>
      <c r="W556" s="1">
        <f>IF(AND(Table1[[#This Row],[AMT Taxes]]&gt;Table1[[#This Row],[Regular Taxes Owed]],Table1[[#This Row],[AMT Taxes]]&gt;0),Table1[[#This Row],[AMT Taxes]]-Table1[[#This Row],[Regular Taxes Owed]],0)</f>
        <v>4276.5</v>
      </c>
      <c r="X556" s="9">
        <f>Table1[[#This Row],[Extra Taxes From Amt]]+Table1[[#This Row],[Federal Taxes Owed (No AMT)]]</f>
        <v>52456</v>
      </c>
      <c r="Y556" s="9">
        <f>IF(Table1[[#This Row],[taxable wages]]&gt;obamacare_surcharge_amount,obamacare_surcharge_percent*(Table1[[#This Row],[taxable wages]]-obamacare_surcharge_amount),0)</f>
        <v>85.5</v>
      </c>
      <c r="Z556" s="9">
        <f>Table1[[#This Row],[Federal Taxes Owed (Includes AMT)]]+Table1[[#This Row],[Obamacare surcharge premium]]</f>
        <v>52541.5</v>
      </c>
      <c r="AA556" s="9">
        <f>Table1[[#This Row],[taxable wages]]-Table1[[#This Row],[Federal Taxes Owed2]]</f>
        <v>206958.5</v>
      </c>
      <c r="AB556" s="51">
        <f t="shared" si="51"/>
        <v>0.35899999999999999</v>
      </c>
      <c r="AC556" s="41"/>
      <c r="AD556" s="13"/>
      <c r="AE556" s="13"/>
    </row>
    <row r="557" spans="2:31" x14ac:dyDescent="0.3">
      <c r="B557" s="41">
        <f t="shared" si="52"/>
        <v>260000</v>
      </c>
      <c r="C557" s="1">
        <f>Table1[[#This Row],[taxable wages]]</f>
        <v>260000</v>
      </c>
      <c r="D557" s="1">
        <f>Table1[[#This Row],[taxable wages]]+interest+dividends+short_term_capital_gains+long_term_capital_gains</f>
        <v>260000</v>
      </c>
      <c r="E557" s="1">
        <f>MAX(Table1[[#This Row],[earned income for EITC]:[Agi For Eitc Calc]])</f>
        <v>260000</v>
      </c>
      <c r="F557" s="1">
        <f>Table1[[#This Row],[taxable wages]]+interest+dividends+short_term_capital_gains+long_term_capital_gains-(trad_ira_contributions+MIN(student_loan_interest_cap,student_loan_interest))</f>
        <v>260000</v>
      </c>
      <c r="G557" s="1">
        <f t="shared" si="48"/>
        <v>12600</v>
      </c>
      <c r="H557" s="1">
        <f t="shared" si="49"/>
        <v>28350</v>
      </c>
      <c r="I557" s="1">
        <f>MAX(0,Table1[[#This Row],[Agi]]-Table1[[#This Row],[Exemptions]]-Table1[[#This Row],[Effective Deductions]])</f>
        <v>219050</v>
      </c>
      <c r="J5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48319.5</v>
      </c>
      <c r="K557" s="1">
        <f t="shared" si="50"/>
        <v>5000</v>
      </c>
      <c r="L557" s="1">
        <f>IF(Table1[[#This Row],[Agi]]&gt;ctc_phase_out_begins,ctc_phase_out_rate*(Table1[[#This Row],[Agi]]-ctc_phase_out_begins),0)</f>
        <v>7500</v>
      </c>
      <c r="M557" s="1">
        <f>MAX(Table1[[#This Row],[Child Tax Credit]]-Table1[[#This Row],[Child Tax Credit Phase Out]],0)</f>
        <v>0</v>
      </c>
      <c r="N557" s="1">
        <f>MAX(Table1[[#This Row],[Regular Taxes Owed]]-Table1[[#This Row],[Effective Child Tax Credit]],0)</f>
        <v>48319.5</v>
      </c>
      <c r="O557" s="1">
        <f>MAX(MIN((Table1[[#This Row],[taxable wages]]-3000)*0.15,1000*num_kids_16_younger),0)</f>
        <v>5000</v>
      </c>
      <c r="P557" s="9">
        <f>IF(Table1[[#This Row],[Effective Child Tax Credit]]&gt;Table1[[#This Row],[Regular Taxes Owed]],Table1[[#This Row],[Additional Child Tax Credit ]]-Table1[[#This Row],[Regular Taxes Owed]],0)</f>
        <v>0</v>
      </c>
      <c r="Q5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7" s="1">
        <f>Table1[[#This Row],[Effective Additional Child Tax Credit]]+Table1[[#This Row],[Eitc]]</f>
        <v>0</v>
      </c>
      <c r="S557" s="9">
        <f>Table1[[#This Row],[Regular Taxes Owed - Effective Child Tax Credit]]-Table1[[#This Row],[Total Credits]]</f>
        <v>48319.5</v>
      </c>
      <c r="T557" s="9">
        <f>Table1[[#This Row],[taxable wages]]+interest+dividends+short_term_capital_gains+long_term_capital_gains-(charitable_donations+mortgage_interest)</f>
        <v>260000</v>
      </c>
      <c r="U557" s="9">
        <f>MAX(amt_exemption-amt_exemption_phase_out_rate*MAX(Table1[[#This Row],[taxable wages]]-amt_phase_out_begins,0),0)</f>
        <v>58725</v>
      </c>
      <c r="V5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52631</v>
      </c>
      <c r="W557" s="1">
        <f>IF(AND(Table1[[#This Row],[AMT Taxes]]&gt;Table1[[#This Row],[Regular Taxes Owed]],Table1[[#This Row],[AMT Taxes]]&gt;0),Table1[[#This Row],[AMT Taxes]]-Table1[[#This Row],[Regular Taxes Owed]],0)</f>
        <v>4311.5</v>
      </c>
      <c r="X557" s="9">
        <f>Table1[[#This Row],[Extra Taxes From Amt]]+Table1[[#This Row],[Federal Taxes Owed (No AMT)]]</f>
        <v>52631</v>
      </c>
      <c r="Y557" s="9">
        <f>IF(Table1[[#This Row],[taxable wages]]&gt;obamacare_surcharge_amount,obamacare_surcharge_percent*(Table1[[#This Row],[taxable wages]]-obamacare_surcharge_amount),0)</f>
        <v>90</v>
      </c>
      <c r="Z557" s="9">
        <f>Table1[[#This Row],[Federal Taxes Owed (Includes AMT)]]+Table1[[#This Row],[Obamacare surcharge premium]]</f>
        <v>52721</v>
      </c>
      <c r="AA557" s="9">
        <f>Table1[[#This Row],[taxable wages]]-Table1[[#This Row],[Federal Taxes Owed2]]</f>
        <v>207279</v>
      </c>
      <c r="AB557" s="51">
        <f t="shared" si="51"/>
        <v>0.35899999999999999</v>
      </c>
      <c r="AC557" s="41"/>
      <c r="AD557" s="13"/>
      <c r="AE557" s="13"/>
    </row>
    <row r="558" spans="2:31" x14ac:dyDescent="0.3">
      <c r="B558" s="41">
        <f t="shared" si="52"/>
        <v>260500</v>
      </c>
      <c r="C558" s="1">
        <f>Table1[[#This Row],[taxable wages]]</f>
        <v>260500</v>
      </c>
      <c r="D558" s="1">
        <f>Table1[[#This Row],[taxable wages]]+interest+dividends+short_term_capital_gains+long_term_capital_gains</f>
        <v>260500</v>
      </c>
      <c r="E558" s="1">
        <f>MAX(Table1[[#This Row],[earned income for EITC]:[Agi For Eitc Calc]])</f>
        <v>260500</v>
      </c>
      <c r="F558" s="1">
        <f>Table1[[#This Row],[taxable wages]]+interest+dividends+short_term_capital_gains+long_term_capital_gains-(trad_ira_contributions+MIN(student_loan_interest_cap,student_loan_interest))</f>
        <v>260500</v>
      </c>
      <c r="G558" s="1">
        <f t="shared" si="48"/>
        <v>12600</v>
      </c>
      <c r="H558" s="1">
        <f t="shared" si="49"/>
        <v>28350</v>
      </c>
      <c r="I558" s="1">
        <f>MAX(0,Table1[[#This Row],[Agi]]-Table1[[#This Row],[Exemptions]]-Table1[[#This Row],[Effective Deductions]])</f>
        <v>219550</v>
      </c>
      <c r="J5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48459.5</v>
      </c>
      <c r="K558" s="1">
        <f t="shared" si="50"/>
        <v>5000</v>
      </c>
      <c r="L558" s="1">
        <f>IF(Table1[[#This Row],[Agi]]&gt;ctc_phase_out_begins,ctc_phase_out_rate*(Table1[[#This Row],[Agi]]-ctc_phase_out_begins),0)</f>
        <v>7525</v>
      </c>
      <c r="M558" s="1">
        <f>MAX(Table1[[#This Row],[Child Tax Credit]]-Table1[[#This Row],[Child Tax Credit Phase Out]],0)</f>
        <v>0</v>
      </c>
      <c r="N558" s="1">
        <f>MAX(Table1[[#This Row],[Regular Taxes Owed]]-Table1[[#This Row],[Effective Child Tax Credit]],0)</f>
        <v>48459.5</v>
      </c>
      <c r="O558" s="1">
        <f>MAX(MIN((Table1[[#This Row],[taxable wages]]-3000)*0.15,1000*num_kids_16_younger),0)</f>
        <v>5000</v>
      </c>
      <c r="P558" s="9">
        <f>IF(Table1[[#This Row],[Effective Child Tax Credit]]&gt;Table1[[#This Row],[Regular Taxes Owed]],Table1[[#This Row],[Additional Child Tax Credit ]]-Table1[[#This Row],[Regular Taxes Owed]],0)</f>
        <v>0</v>
      </c>
      <c r="Q5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8" s="1">
        <f>Table1[[#This Row],[Effective Additional Child Tax Credit]]+Table1[[#This Row],[Eitc]]</f>
        <v>0</v>
      </c>
      <c r="S558" s="9">
        <f>Table1[[#This Row],[Regular Taxes Owed - Effective Child Tax Credit]]-Table1[[#This Row],[Total Credits]]</f>
        <v>48459.5</v>
      </c>
      <c r="T558" s="9">
        <f>Table1[[#This Row],[taxable wages]]+interest+dividends+short_term_capital_gains+long_term_capital_gains-(charitable_donations+mortgage_interest)</f>
        <v>260500</v>
      </c>
      <c r="U558" s="9">
        <f>MAX(amt_exemption-amt_exemption_phase_out_rate*MAX(Table1[[#This Row],[taxable wages]]-amt_phase_out_begins,0),0)</f>
        <v>58600</v>
      </c>
      <c r="V5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52806</v>
      </c>
      <c r="W558" s="1">
        <f>IF(AND(Table1[[#This Row],[AMT Taxes]]&gt;Table1[[#This Row],[Regular Taxes Owed]],Table1[[#This Row],[AMT Taxes]]&gt;0),Table1[[#This Row],[AMT Taxes]]-Table1[[#This Row],[Regular Taxes Owed]],0)</f>
        <v>4346.5</v>
      </c>
      <c r="X558" s="9">
        <f>Table1[[#This Row],[Extra Taxes From Amt]]+Table1[[#This Row],[Federal Taxes Owed (No AMT)]]</f>
        <v>52806</v>
      </c>
      <c r="Y558" s="9">
        <f>IF(Table1[[#This Row],[taxable wages]]&gt;obamacare_surcharge_amount,obamacare_surcharge_percent*(Table1[[#This Row],[taxable wages]]-obamacare_surcharge_amount),0)</f>
        <v>94.499999999999986</v>
      </c>
      <c r="Z558" s="9">
        <f>Table1[[#This Row],[Federal Taxes Owed (Includes AMT)]]+Table1[[#This Row],[Obamacare surcharge premium]]</f>
        <v>52900.5</v>
      </c>
      <c r="AA558" s="9">
        <f>Table1[[#This Row],[taxable wages]]-Table1[[#This Row],[Federal Taxes Owed2]]</f>
        <v>207599.5</v>
      </c>
      <c r="AB558" s="51">
        <f t="shared" si="51"/>
        <v>0.35899999999999999</v>
      </c>
      <c r="AC558" s="41"/>
      <c r="AD558" s="13"/>
      <c r="AE558" s="13"/>
    </row>
    <row r="559" spans="2:31" x14ac:dyDescent="0.3">
      <c r="B559" s="41">
        <f t="shared" si="52"/>
        <v>261000</v>
      </c>
      <c r="C559" s="1">
        <f>Table1[[#This Row],[taxable wages]]</f>
        <v>261000</v>
      </c>
      <c r="D559" s="1">
        <f>Table1[[#This Row],[taxable wages]]+interest+dividends+short_term_capital_gains+long_term_capital_gains</f>
        <v>261000</v>
      </c>
      <c r="E559" s="1">
        <f>MAX(Table1[[#This Row],[earned income for EITC]:[Agi For Eitc Calc]])</f>
        <v>261000</v>
      </c>
      <c r="F559" s="1">
        <f>Table1[[#This Row],[taxable wages]]+interest+dividends+short_term_capital_gains+long_term_capital_gains-(trad_ira_contributions+MIN(student_loan_interest_cap,student_loan_interest))</f>
        <v>261000</v>
      </c>
      <c r="G559" s="1">
        <f t="shared" si="48"/>
        <v>12600</v>
      </c>
      <c r="H559" s="1">
        <f t="shared" si="49"/>
        <v>28350</v>
      </c>
      <c r="I559" s="1">
        <f>MAX(0,Table1[[#This Row],[Agi]]-Table1[[#This Row],[Exemptions]]-Table1[[#This Row],[Effective Deductions]])</f>
        <v>220050</v>
      </c>
      <c r="J5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48599.5</v>
      </c>
      <c r="K559" s="1">
        <f t="shared" si="50"/>
        <v>5000</v>
      </c>
      <c r="L559" s="1">
        <f>IF(Table1[[#This Row],[Agi]]&gt;ctc_phase_out_begins,ctc_phase_out_rate*(Table1[[#This Row],[Agi]]-ctc_phase_out_begins),0)</f>
        <v>7550</v>
      </c>
      <c r="M559" s="1">
        <f>MAX(Table1[[#This Row],[Child Tax Credit]]-Table1[[#This Row],[Child Tax Credit Phase Out]],0)</f>
        <v>0</v>
      </c>
      <c r="N559" s="1">
        <f>MAX(Table1[[#This Row],[Regular Taxes Owed]]-Table1[[#This Row],[Effective Child Tax Credit]],0)</f>
        <v>48599.5</v>
      </c>
      <c r="O559" s="1">
        <f>MAX(MIN((Table1[[#This Row],[taxable wages]]-3000)*0.15,1000*num_kids_16_younger),0)</f>
        <v>5000</v>
      </c>
      <c r="P559" s="9">
        <f>IF(Table1[[#This Row],[Effective Child Tax Credit]]&gt;Table1[[#This Row],[Regular Taxes Owed]],Table1[[#This Row],[Additional Child Tax Credit ]]-Table1[[#This Row],[Regular Taxes Owed]],0)</f>
        <v>0</v>
      </c>
      <c r="Q5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59" s="1">
        <f>Table1[[#This Row],[Effective Additional Child Tax Credit]]+Table1[[#This Row],[Eitc]]</f>
        <v>0</v>
      </c>
      <c r="S559" s="9">
        <f>Table1[[#This Row],[Regular Taxes Owed - Effective Child Tax Credit]]-Table1[[#This Row],[Total Credits]]</f>
        <v>48599.5</v>
      </c>
      <c r="T559" s="9">
        <f>Table1[[#This Row],[taxable wages]]+interest+dividends+short_term_capital_gains+long_term_capital_gains-(charitable_donations+mortgage_interest)</f>
        <v>261000</v>
      </c>
      <c r="U559" s="9">
        <f>MAX(amt_exemption-amt_exemption_phase_out_rate*MAX(Table1[[#This Row],[taxable wages]]-amt_phase_out_begins,0),0)</f>
        <v>58475</v>
      </c>
      <c r="V5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52981</v>
      </c>
      <c r="W559" s="1">
        <f>IF(AND(Table1[[#This Row],[AMT Taxes]]&gt;Table1[[#This Row],[Regular Taxes Owed]],Table1[[#This Row],[AMT Taxes]]&gt;0),Table1[[#This Row],[AMT Taxes]]-Table1[[#This Row],[Regular Taxes Owed]],0)</f>
        <v>4381.5</v>
      </c>
      <c r="X559" s="9">
        <f>Table1[[#This Row],[Extra Taxes From Amt]]+Table1[[#This Row],[Federal Taxes Owed (No AMT)]]</f>
        <v>52981</v>
      </c>
      <c r="Y559" s="9">
        <f>IF(Table1[[#This Row],[taxable wages]]&gt;obamacare_surcharge_amount,obamacare_surcharge_percent*(Table1[[#This Row],[taxable wages]]-obamacare_surcharge_amount),0)</f>
        <v>98.999999999999986</v>
      </c>
      <c r="Z559" s="9">
        <f>Table1[[#This Row],[Federal Taxes Owed (Includes AMT)]]+Table1[[#This Row],[Obamacare surcharge premium]]</f>
        <v>53080</v>
      </c>
      <c r="AA559" s="9">
        <f>Table1[[#This Row],[taxable wages]]-Table1[[#This Row],[Federal Taxes Owed2]]</f>
        <v>207920</v>
      </c>
      <c r="AB559" s="51">
        <f t="shared" si="51"/>
        <v>0.35899999999999999</v>
      </c>
      <c r="AC559" s="41"/>
      <c r="AD559" s="13"/>
      <c r="AE559" s="13"/>
    </row>
    <row r="560" spans="2:31" x14ac:dyDescent="0.3">
      <c r="B560" s="41">
        <f t="shared" si="52"/>
        <v>261500</v>
      </c>
      <c r="C560" s="1">
        <f>Table1[[#This Row],[taxable wages]]</f>
        <v>261500</v>
      </c>
      <c r="D560" s="1">
        <f>Table1[[#This Row],[taxable wages]]+interest+dividends+short_term_capital_gains+long_term_capital_gains</f>
        <v>261500</v>
      </c>
      <c r="E560" s="1">
        <f>MAX(Table1[[#This Row],[earned income for EITC]:[Agi For Eitc Calc]])</f>
        <v>261500</v>
      </c>
      <c r="F560" s="1">
        <f>Table1[[#This Row],[taxable wages]]+interest+dividends+short_term_capital_gains+long_term_capital_gains-(trad_ira_contributions+MIN(student_loan_interest_cap,student_loan_interest))</f>
        <v>261500</v>
      </c>
      <c r="G560" s="1">
        <f t="shared" si="48"/>
        <v>12600</v>
      </c>
      <c r="H560" s="1">
        <f t="shared" si="49"/>
        <v>28350</v>
      </c>
      <c r="I560" s="1">
        <f>MAX(0,Table1[[#This Row],[Agi]]-Table1[[#This Row],[Exemptions]]-Table1[[#This Row],[Effective Deductions]])</f>
        <v>220550</v>
      </c>
      <c r="J5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48739.5</v>
      </c>
      <c r="K560" s="1">
        <f t="shared" si="50"/>
        <v>5000</v>
      </c>
      <c r="L560" s="1">
        <f>IF(Table1[[#This Row],[Agi]]&gt;ctc_phase_out_begins,ctc_phase_out_rate*(Table1[[#This Row],[Agi]]-ctc_phase_out_begins),0)</f>
        <v>7575</v>
      </c>
      <c r="M560" s="1">
        <f>MAX(Table1[[#This Row],[Child Tax Credit]]-Table1[[#This Row],[Child Tax Credit Phase Out]],0)</f>
        <v>0</v>
      </c>
      <c r="N560" s="1">
        <f>MAX(Table1[[#This Row],[Regular Taxes Owed]]-Table1[[#This Row],[Effective Child Tax Credit]],0)</f>
        <v>48739.5</v>
      </c>
      <c r="O560" s="1">
        <f>MAX(MIN((Table1[[#This Row],[taxable wages]]-3000)*0.15,1000*num_kids_16_younger),0)</f>
        <v>5000</v>
      </c>
      <c r="P560" s="9">
        <f>IF(Table1[[#This Row],[Effective Child Tax Credit]]&gt;Table1[[#This Row],[Regular Taxes Owed]],Table1[[#This Row],[Additional Child Tax Credit ]]-Table1[[#This Row],[Regular Taxes Owed]],0)</f>
        <v>0</v>
      </c>
      <c r="Q5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0" s="1">
        <f>Table1[[#This Row],[Effective Additional Child Tax Credit]]+Table1[[#This Row],[Eitc]]</f>
        <v>0</v>
      </c>
      <c r="S560" s="9">
        <f>Table1[[#This Row],[Regular Taxes Owed - Effective Child Tax Credit]]-Table1[[#This Row],[Total Credits]]</f>
        <v>48739.5</v>
      </c>
      <c r="T560" s="9">
        <f>Table1[[#This Row],[taxable wages]]+interest+dividends+short_term_capital_gains+long_term_capital_gains-(charitable_donations+mortgage_interest)</f>
        <v>261500</v>
      </c>
      <c r="U560" s="9">
        <f>MAX(amt_exemption-amt_exemption_phase_out_rate*MAX(Table1[[#This Row],[taxable wages]]-amt_phase_out_begins,0),0)</f>
        <v>58350</v>
      </c>
      <c r="V5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53156</v>
      </c>
      <c r="W560" s="1">
        <f>IF(AND(Table1[[#This Row],[AMT Taxes]]&gt;Table1[[#This Row],[Regular Taxes Owed]],Table1[[#This Row],[AMT Taxes]]&gt;0),Table1[[#This Row],[AMT Taxes]]-Table1[[#This Row],[Regular Taxes Owed]],0)</f>
        <v>4416.5</v>
      </c>
      <c r="X560" s="9">
        <f>Table1[[#This Row],[Extra Taxes From Amt]]+Table1[[#This Row],[Federal Taxes Owed (No AMT)]]</f>
        <v>53156</v>
      </c>
      <c r="Y560" s="9">
        <f>IF(Table1[[#This Row],[taxable wages]]&gt;obamacare_surcharge_amount,obamacare_surcharge_percent*(Table1[[#This Row],[taxable wages]]-obamacare_surcharge_amount),0)</f>
        <v>103.49999999999999</v>
      </c>
      <c r="Z560" s="9">
        <f>Table1[[#This Row],[Federal Taxes Owed (Includes AMT)]]+Table1[[#This Row],[Obamacare surcharge premium]]</f>
        <v>53259.5</v>
      </c>
      <c r="AA560" s="9">
        <f>Table1[[#This Row],[taxable wages]]-Table1[[#This Row],[Federal Taxes Owed2]]</f>
        <v>208240.5</v>
      </c>
      <c r="AB560" s="51">
        <f t="shared" si="51"/>
        <v>0.35899999999999999</v>
      </c>
      <c r="AC560" s="41"/>
      <c r="AD560" s="13"/>
      <c r="AE560" s="13"/>
    </row>
    <row r="561" spans="2:31" x14ac:dyDescent="0.3">
      <c r="B561" s="41">
        <f t="shared" si="52"/>
        <v>262000</v>
      </c>
      <c r="C561" s="1">
        <f>Table1[[#This Row],[taxable wages]]</f>
        <v>262000</v>
      </c>
      <c r="D561" s="1">
        <f>Table1[[#This Row],[taxable wages]]+interest+dividends+short_term_capital_gains+long_term_capital_gains</f>
        <v>262000</v>
      </c>
      <c r="E561" s="1">
        <f>MAX(Table1[[#This Row],[earned income for EITC]:[Agi For Eitc Calc]])</f>
        <v>262000</v>
      </c>
      <c r="F561" s="1">
        <f>Table1[[#This Row],[taxable wages]]+interest+dividends+short_term_capital_gains+long_term_capital_gains-(trad_ira_contributions+MIN(student_loan_interest_cap,student_loan_interest))</f>
        <v>262000</v>
      </c>
      <c r="G561" s="1">
        <f t="shared" si="48"/>
        <v>12600</v>
      </c>
      <c r="H561" s="1">
        <f t="shared" si="49"/>
        <v>28350</v>
      </c>
      <c r="I561" s="1">
        <f>MAX(0,Table1[[#This Row],[Agi]]-Table1[[#This Row],[Exemptions]]-Table1[[#This Row],[Effective Deductions]])</f>
        <v>221050</v>
      </c>
      <c r="J5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48879.5</v>
      </c>
      <c r="K561" s="1">
        <f t="shared" si="50"/>
        <v>5000</v>
      </c>
      <c r="L561" s="1">
        <f>IF(Table1[[#This Row],[Agi]]&gt;ctc_phase_out_begins,ctc_phase_out_rate*(Table1[[#This Row],[Agi]]-ctc_phase_out_begins),0)</f>
        <v>7600</v>
      </c>
      <c r="M561" s="1">
        <f>MAX(Table1[[#This Row],[Child Tax Credit]]-Table1[[#This Row],[Child Tax Credit Phase Out]],0)</f>
        <v>0</v>
      </c>
      <c r="N561" s="1">
        <f>MAX(Table1[[#This Row],[Regular Taxes Owed]]-Table1[[#This Row],[Effective Child Tax Credit]],0)</f>
        <v>48879.5</v>
      </c>
      <c r="O561" s="1">
        <f>MAX(MIN((Table1[[#This Row],[taxable wages]]-3000)*0.15,1000*num_kids_16_younger),0)</f>
        <v>5000</v>
      </c>
      <c r="P561" s="9">
        <f>IF(Table1[[#This Row],[Effective Child Tax Credit]]&gt;Table1[[#This Row],[Regular Taxes Owed]],Table1[[#This Row],[Additional Child Tax Credit ]]-Table1[[#This Row],[Regular Taxes Owed]],0)</f>
        <v>0</v>
      </c>
      <c r="Q5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1" s="1">
        <f>Table1[[#This Row],[Effective Additional Child Tax Credit]]+Table1[[#This Row],[Eitc]]</f>
        <v>0</v>
      </c>
      <c r="S561" s="9">
        <f>Table1[[#This Row],[Regular Taxes Owed - Effective Child Tax Credit]]-Table1[[#This Row],[Total Credits]]</f>
        <v>48879.5</v>
      </c>
      <c r="T561" s="9">
        <f>Table1[[#This Row],[taxable wages]]+interest+dividends+short_term_capital_gains+long_term_capital_gains-(charitable_donations+mortgage_interest)</f>
        <v>262000</v>
      </c>
      <c r="U561" s="9">
        <f>MAX(amt_exemption-amt_exemption_phase_out_rate*MAX(Table1[[#This Row],[taxable wages]]-amt_phase_out_begins,0),0)</f>
        <v>58225</v>
      </c>
      <c r="V5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53331</v>
      </c>
      <c r="W561" s="1">
        <f>IF(AND(Table1[[#This Row],[AMT Taxes]]&gt;Table1[[#This Row],[Regular Taxes Owed]],Table1[[#This Row],[AMT Taxes]]&gt;0),Table1[[#This Row],[AMT Taxes]]-Table1[[#This Row],[Regular Taxes Owed]],0)</f>
        <v>4451.5</v>
      </c>
      <c r="X561" s="9">
        <f>Table1[[#This Row],[Extra Taxes From Amt]]+Table1[[#This Row],[Federal Taxes Owed (No AMT)]]</f>
        <v>53331</v>
      </c>
      <c r="Y561" s="9">
        <f>IF(Table1[[#This Row],[taxable wages]]&gt;obamacare_surcharge_amount,obamacare_surcharge_percent*(Table1[[#This Row],[taxable wages]]-obamacare_surcharge_amount),0)</f>
        <v>107.99999999999999</v>
      </c>
      <c r="Z561" s="9">
        <f>Table1[[#This Row],[Federal Taxes Owed (Includes AMT)]]+Table1[[#This Row],[Obamacare surcharge premium]]</f>
        <v>53439</v>
      </c>
      <c r="AA561" s="9">
        <f>Table1[[#This Row],[taxable wages]]-Table1[[#This Row],[Federal Taxes Owed2]]</f>
        <v>208561</v>
      </c>
      <c r="AB561" s="51">
        <f t="shared" si="51"/>
        <v>0.35899999999999999</v>
      </c>
      <c r="AC561" s="41"/>
      <c r="AD561" s="13"/>
      <c r="AE561" s="13"/>
    </row>
    <row r="562" spans="2:31" x14ac:dyDescent="0.3">
      <c r="B562" s="41">
        <f t="shared" si="52"/>
        <v>262500</v>
      </c>
      <c r="C562" s="1">
        <f>Table1[[#This Row],[taxable wages]]</f>
        <v>262500</v>
      </c>
      <c r="D562" s="1">
        <f>Table1[[#This Row],[taxable wages]]+interest+dividends+short_term_capital_gains+long_term_capital_gains</f>
        <v>262500</v>
      </c>
      <c r="E562" s="1">
        <f>MAX(Table1[[#This Row],[earned income for EITC]:[Agi For Eitc Calc]])</f>
        <v>262500</v>
      </c>
      <c r="F562" s="1">
        <f>Table1[[#This Row],[taxable wages]]+interest+dividends+short_term_capital_gains+long_term_capital_gains-(trad_ira_contributions+MIN(student_loan_interest_cap,student_loan_interest))</f>
        <v>262500</v>
      </c>
      <c r="G562" s="1">
        <f t="shared" si="48"/>
        <v>12600</v>
      </c>
      <c r="H562" s="1">
        <f t="shared" si="49"/>
        <v>28350</v>
      </c>
      <c r="I562" s="1">
        <f>MAX(0,Table1[[#This Row],[Agi]]-Table1[[#This Row],[Exemptions]]-Table1[[#This Row],[Effective Deductions]])</f>
        <v>221550</v>
      </c>
      <c r="J5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49019.5</v>
      </c>
      <c r="K562" s="1">
        <f t="shared" si="50"/>
        <v>5000</v>
      </c>
      <c r="L562" s="1">
        <f>IF(Table1[[#This Row],[Agi]]&gt;ctc_phase_out_begins,ctc_phase_out_rate*(Table1[[#This Row],[Agi]]-ctc_phase_out_begins),0)</f>
        <v>7625</v>
      </c>
      <c r="M562" s="1">
        <f>MAX(Table1[[#This Row],[Child Tax Credit]]-Table1[[#This Row],[Child Tax Credit Phase Out]],0)</f>
        <v>0</v>
      </c>
      <c r="N562" s="1">
        <f>MAX(Table1[[#This Row],[Regular Taxes Owed]]-Table1[[#This Row],[Effective Child Tax Credit]],0)</f>
        <v>49019.5</v>
      </c>
      <c r="O562" s="1">
        <f>MAX(MIN((Table1[[#This Row],[taxable wages]]-3000)*0.15,1000*num_kids_16_younger),0)</f>
        <v>5000</v>
      </c>
      <c r="P562" s="9">
        <f>IF(Table1[[#This Row],[Effective Child Tax Credit]]&gt;Table1[[#This Row],[Regular Taxes Owed]],Table1[[#This Row],[Additional Child Tax Credit ]]-Table1[[#This Row],[Regular Taxes Owed]],0)</f>
        <v>0</v>
      </c>
      <c r="Q5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2" s="1">
        <f>Table1[[#This Row],[Effective Additional Child Tax Credit]]+Table1[[#This Row],[Eitc]]</f>
        <v>0</v>
      </c>
      <c r="S562" s="9">
        <f>Table1[[#This Row],[Regular Taxes Owed - Effective Child Tax Credit]]-Table1[[#This Row],[Total Credits]]</f>
        <v>49019.5</v>
      </c>
      <c r="T562" s="9">
        <f>Table1[[#This Row],[taxable wages]]+interest+dividends+short_term_capital_gains+long_term_capital_gains-(charitable_donations+mortgage_interest)</f>
        <v>262500</v>
      </c>
      <c r="U562" s="9">
        <f>MAX(amt_exemption-amt_exemption_phase_out_rate*MAX(Table1[[#This Row],[taxable wages]]-amt_phase_out_begins,0),0)</f>
        <v>58100</v>
      </c>
      <c r="V5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53506</v>
      </c>
      <c r="W562" s="1">
        <f>IF(AND(Table1[[#This Row],[AMT Taxes]]&gt;Table1[[#This Row],[Regular Taxes Owed]],Table1[[#This Row],[AMT Taxes]]&gt;0),Table1[[#This Row],[AMT Taxes]]-Table1[[#This Row],[Regular Taxes Owed]],0)</f>
        <v>4486.5</v>
      </c>
      <c r="X562" s="9">
        <f>Table1[[#This Row],[Extra Taxes From Amt]]+Table1[[#This Row],[Federal Taxes Owed (No AMT)]]</f>
        <v>53506</v>
      </c>
      <c r="Y562" s="9">
        <f>IF(Table1[[#This Row],[taxable wages]]&gt;obamacare_surcharge_amount,obamacare_surcharge_percent*(Table1[[#This Row],[taxable wages]]-obamacare_surcharge_amount),0)</f>
        <v>112.49999999999999</v>
      </c>
      <c r="Z562" s="9">
        <f>Table1[[#This Row],[Federal Taxes Owed (Includes AMT)]]+Table1[[#This Row],[Obamacare surcharge premium]]</f>
        <v>53618.5</v>
      </c>
      <c r="AA562" s="9">
        <f>Table1[[#This Row],[taxable wages]]-Table1[[#This Row],[Federal Taxes Owed2]]</f>
        <v>208881.5</v>
      </c>
      <c r="AB562" s="51">
        <f t="shared" si="51"/>
        <v>0.35899999999999999</v>
      </c>
      <c r="AC562" s="41"/>
      <c r="AD562" s="13"/>
      <c r="AE562" s="13"/>
    </row>
    <row r="563" spans="2:31" x14ac:dyDescent="0.3">
      <c r="B563" s="41">
        <f t="shared" si="52"/>
        <v>263000</v>
      </c>
      <c r="C563" s="1">
        <f>Table1[[#This Row],[taxable wages]]</f>
        <v>263000</v>
      </c>
      <c r="D563" s="1">
        <f>Table1[[#This Row],[taxable wages]]+interest+dividends+short_term_capital_gains+long_term_capital_gains</f>
        <v>263000</v>
      </c>
      <c r="E563" s="1">
        <f>MAX(Table1[[#This Row],[earned income for EITC]:[Agi For Eitc Calc]])</f>
        <v>263000</v>
      </c>
      <c r="F563" s="1">
        <f>Table1[[#This Row],[taxable wages]]+interest+dividends+short_term_capital_gains+long_term_capital_gains-(trad_ira_contributions+MIN(student_loan_interest_cap,student_loan_interest))</f>
        <v>263000</v>
      </c>
      <c r="G563" s="1">
        <f t="shared" si="48"/>
        <v>12600</v>
      </c>
      <c r="H563" s="1">
        <f t="shared" si="49"/>
        <v>28350</v>
      </c>
      <c r="I563" s="1">
        <f>MAX(0,Table1[[#This Row],[Agi]]-Table1[[#This Row],[Exemptions]]-Table1[[#This Row],[Effective Deductions]])</f>
        <v>222050</v>
      </c>
      <c r="J5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49159.5</v>
      </c>
      <c r="K563" s="1">
        <f t="shared" si="50"/>
        <v>5000</v>
      </c>
      <c r="L563" s="1">
        <f>IF(Table1[[#This Row],[Agi]]&gt;ctc_phase_out_begins,ctc_phase_out_rate*(Table1[[#This Row],[Agi]]-ctc_phase_out_begins),0)</f>
        <v>7650</v>
      </c>
      <c r="M563" s="1">
        <f>MAX(Table1[[#This Row],[Child Tax Credit]]-Table1[[#This Row],[Child Tax Credit Phase Out]],0)</f>
        <v>0</v>
      </c>
      <c r="N563" s="1">
        <f>MAX(Table1[[#This Row],[Regular Taxes Owed]]-Table1[[#This Row],[Effective Child Tax Credit]],0)</f>
        <v>49159.5</v>
      </c>
      <c r="O563" s="1">
        <f>MAX(MIN((Table1[[#This Row],[taxable wages]]-3000)*0.15,1000*num_kids_16_younger),0)</f>
        <v>5000</v>
      </c>
      <c r="P563" s="9">
        <f>IF(Table1[[#This Row],[Effective Child Tax Credit]]&gt;Table1[[#This Row],[Regular Taxes Owed]],Table1[[#This Row],[Additional Child Tax Credit ]]-Table1[[#This Row],[Regular Taxes Owed]],0)</f>
        <v>0</v>
      </c>
      <c r="Q5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3" s="1">
        <f>Table1[[#This Row],[Effective Additional Child Tax Credit]]+Table1[[#This Row],[Eitc]]</f>
        <v>0</v>
      </c>
      <c r="S563" s="9">
        <f>Table1[[#This Row],[Regular Taxes Owed - Effective Child Tax Credit]]-Table1[[#This Row],[Total Credits]]</f>
        <v>49159.5</v>
      </c>
      <c r="T563" s="9">
        <f>Table1[[#This Row],[taxable wages]]+interest+dividends+short_term_capital_gains+long_term_capital_gains-(charitable_donations+mortgage_interest)</f>
        <v>263000</v>
      </c>
      <c r="U563" s="9">
        <f>MAX(amt_exemption-amt_exemption_phase_out_rate*MAX(Table1[[#This Row],[taxable wages]]-amt_phase_out_begins,0),0)</f>
        <v>57975</v>
      </c>
      <c r="V5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53681</v>
      </c>
      <c r="W563" s="1">
        <f>IF(AND(Table1[[#This Row],[AMT Taxes]]&gt;Table1[[#This Row],[Regular Taxes Owed]],Table1[[#This Row],[AMT Taxes]]&gt;0),Table1[[#This Row],[AMT Taxes]]-Table1[[#This Row],[Regular Taxes Owed]],0)</f>
        <v>4521.5</v>
      </c>
      <c r="X563" s="9">
        <f>Table1[[#This Row],[Extra Taxes From Amt]]+Table1[[#This Row],[Federal Taxes Owed (No AMT)]]</f>
        <v>53681</v>
      </c>
      <c r="Y563" s="9">
        <f>IF(Table1[[#This Row],[taxable wages]]&gt;obamacare_surcharge_amount,obamacare_surcharge_percent*(Table1[[#This Row],[taxable wages]]-obamacare_surcharge_amount),0)</f>
        <v>116.99999999999999</v>
      </c>
      <c r="Z563" s="9">
        <f>Table1[[#This Row],[Federal Taxes Owed (Includes AMT)]]+Table1[[#This Row],[Obamacare surcharge premium]]</f>
        <v>53798</v>
      </c>
      <c r="AA563" s="9">
        <f>Table1[[#This Row],[taxable wages]]-Table1[[#This Row],[Federal Taxes Owed2]]</f>
        <v>209202</v>
      </c>
      <c r="AB563" s="51">
        <f t="shared" si="51"/>
        <v>0.35899999999999999</v>
      </c>
      <c r="AC563" s="41"/>
      <c r="AD563" s="13"/>
      <c r="AE563" s="13"/>
    </row>
    <row r="564" spans="2:31" x14ac:dyDescent="0.3">
      <c r="B564" s="41">
        <f t="shared" si="52"/>
        <v>263500</v>
      </c>
      <c r="C564" s="1">
        <f>Table1[[#This Row],[taxable wages]]</f>
        <v>263500</v>
      </c>
      <c r="D564" s="1">
        <f>Table1[[#This Row],[taxable wages]]+interest+dividends+short_term_capital_gains+long_term_capital_gains</f>
        <v>263500</v>
      </c>
      <c r="E564" s="1">
        <f>MAX(Table1[[#This Row],[earned income for EITC]:[Agi For Eitc Calc]])</f>
        <v>263500</v>
      </c>
      <c r="F564" s="1">
        <f>Table1[[#This Row],[taxable wages]]+interest+dividends+short_term_capital_gains+long_term_capital_gains-(trad_ira_contributions+MIN(student_loan_interest_cap,student_loan_interest))</f>
        <v>263500</v>
      </c>
      <c r="G564" s="1">
        <f t="shared" si="48"/>
        <v>12600</v>
      </c>
      <c r="H564" s="1">
        <f t="shared" si="49"/>
        <v>28350</v>
      </c>
      <c r="I564" s="1">
        <f>MAX(0,Table1[[#This Row],[Agi]]-Table1[[#This Row],[Exemptions]]-Table1[[#This Row],[Effective Deductions]])</f>
        <v>222550</v>
      </c>
      <c r="J5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49299.5</v>
      </c>
      <c r="K564" s="1">
        <f t="shared" si="50"/>
        <v>5000</v>
      </c>
      <c r="L564" s="1">
        <f>IF(Table1[[#This Row],[Agi]]&gt;ctc_phase_out_begins,ctc_phase_out_rate*(Table1[[#This Row],[Agi]]-ctc_phase_out_begins),0)</f>
        <v>7675</v>
      </c>
      <c r="M564" s="1">
        <f>MAX(Table1[[#This Row],[Child Tax Credit]]-Table1[[#This Row],[Child Tax Credit Phase Out]],0)</f>
        <v>0</v>
      </c>
      <c r="N564" s="1">
        <f>MAX(Table1[[#This Row],[Regular Taxes Owed]]-Table1[[#This Row],[Effective Child Tax Credit]],0)</f>
        <v>49299.5</v>
      </c>
      <c r="O564" s="1">
        <f>MAX(MIN((Table1[[#This Row],[taxable wages]]-3000)*0.15,1000*num_kids_16_younger),0)</f>
        <v>5000</v>
      </c>
      <c r="P564" s="9">
        <f>IF(Table1[[#This Row],[Effective Child Tax Credit]]&gt;Table1[[#This Row],[Regular Taxes Owed]],Table1[[#This Row],[Additional Child Tax Credit ]]-Table1[[#This Row],[Regular Taxes Owed]],0)</f>
        <v>0</v>
      </c>
      <c r="Q5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4" s="1">
        <f>Table1[[#This Row],[Effective Additional Child Tax Credit]]+Table1[[#This Row],[Eitc]]</f>
        <v>0</v>
      </c>
      <c r="S564" s="9">
        <f>Table1[[#This Row],[Regular Taxes Owed - Effective Child Tax Credit]]-Table1[[#This Row],[Total Credits]]</f>
        <v>49299.5</v>
      </c>
      <c r="T564" s="9">
        <f>Table1[[#This Row],[taxable wages]]+interest+dividends+short_term_capital_gains+long_term_capital_gains-(charitable_donations+mortgage_interest)</f>
        <v>263500</v>
      </c>
      <c r="U564" s="9">
        <f>MAX(amt_exemption-amt_exemption_phase_out_rate*MAX(Table1[[#This Row],[taxable wages]]-amt_phase_out_begins,0),0)</f>
        <v>57850</v>
      </c>
      <c r="V5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53856</v>
      </c>
      <c r="W564" s="1">
        <f>IF(AND(Table1[[#This Row],[AMT Taxes]]&gt;Table1[[#This Row],[Regular Taxes Owed]],Table1[[#This Row],[AMT Taxes]]&gt;0),Table1[[#This Row],[AMT Taxes]]-Table1[[#This Row],[Regular Taxes Owed]],0)</f>
        <v>4556.5</v>
      </c>
      <c r="X564" s="9">
        <f>Table1[[#This Row],[Extra Taxes From Amt]]+Table1[[#This Row],[Federal Taxes Owed (No AMT)]]</f>
        <v>53856</v>
      </c>
      <c r="Y564" s="9">
        <f>IF(Table1[[#This Row],[taxable wages]]&gt;obamacare_surcharge_amount,obamacare_surcharge_percent*(Table1[[#This Row],[taxable wages]]-obamacare_surcharge_amount),0)</f>
        <v>121.49999999999999</v>
      </c>
      <c r="Z564" s="9">
        <f>Table1[[#This Row],[Federal Taxes Owed (Includes AMT)]]+Table1[[#This Row],[Obamacare surcharge premium]]</f>
        <v>53977.5</v>
      </c>
      <c r="AA564" s="9">
        <f>Table1[[#This Row],[taxable wages]]-Table1[[#This Row],[Federal Taxes Owed2]]</f>
        <v>209522.5</v>
      </c>
      <c r="AB564" s="51">
        <f t="shared" si="51"/>
        <v>0.35899999999999999</v>
      </c>
      <c r="AC564" s="41"/>
      <c r="AD564" s="13"/>
      <c r="AE564" s="13"/>
    </row>
    <row r="565" spans="2:31" x14ac:dyDescent="0.3">
      <c r="B565" s="41">
        <f t="shared" si="52"/>
        <v>264000</v>
      </c>
      <c r="C565" s="1">
        <f>Table1[[#This Row],[taxable wages]]</f>
        <v>264000</v>
      </c>
      <c r="D565" s="1">
        <f>Table1[[#This Row],[taxable wages]]+interest+dividends+short_term_capital_gains+long_term_capital_gains</f>
        <v>264000</v>
      </c>
      <c r="E565" s="1">
        <f>MAX(Table1[[#This Row],[earned income for EITC]:[Agi For Eitc Calc]])</f>
        <v>264000</v>
      </c>
      <c r="F565" s="1">
        <f>Table1[[#This Row],[taxable wages]]+interest+dividends+short_term_capital_gains+long_term_capital_gains-(trad_ira_contributions+MIN(student_loan_interest_cap,student_loan_interest))</f>
        <v>264000</v>
      </c>
      <c r="G565" s="1">
        <f t="shared" si="48"/>
        <v>12600</v>
      </c>
      <c r="H565" s="1">
        <f t="shared" si="49"/>
        <v>28350</v>
      </c>
      <c r="I565" s="1">
        <f>MAX(0,Table1[[#This Row],[Agi]]-Table1[[#This Row],[Exemptions]]-Table1[[#This Row],[Effective Deductions]])</f>
        <v>223050</v>
      </c>
      <c r="J5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49439.5</v>
      </c>
      <c r="K565" s="1">
        <f t="shared" si="50"/>
        <v>5000</v>
      </c>
      <c r="L565" s="1">
        <f>IF(Table1[[#This Row],[Agi]]&gt;ctc_phase_out_begins,ctc_phase_out_rate*(Table1[[#This Row],[Agi]]-ctc_phase_out_begins),0)</f>
        <v>7700</v>
      </c>
      <c r="M565" s="1">
        <f>MAX(Table1[[#This Row],[Child Tax Credit]]-Table1[[#This Row],[Child Tax Credit Phase Out]],0)</f>
        <v>0</v>
      </c>
      <c r="N565" s="1">
        <f>MAX(Table1[[#This Row],[Regular Taxes Owed]]-Table1[[#This Row],[Effective Child Tax Credit]],0)</f>
        <v>49439.5</v>
      </c>
      <c r="O565" s="1">
        <f>MAX(MIN((Table1[[#This Row],[taxable wages]]-3000)*0.15,1000*num_kids_16_younger),0)</f>
        <v>5000</v>
      </c>
      <c r="P565" s="9">
        <f>IF(Table1[[#This Row],[Effective Child Tax Credit]]&gt;Table1[[#This Row],[Regular Taxes Owed]],Table1[[#This Row],[Additional Child Tax Credit ]]-Table1[[#This Row],[Regular Taxes Owed]],0)</f>
        <v>0</v>
      </c>
      <c r="Q5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5" s="1">
        <f>Table1[[#This Row],[Effective Additional Child Tax Credit]]+Table1[[#This Row],[Eitc]]</f>
        <v>0</v>
      </c>
      <c r="S565" s="9">
        <f>Table1[[#This Row],[Regular Taxes Owed - Effective Child Tax Credit]]-Table1[[#This Row],[Total Credits]]</f>
        <v>49439.5</v>
      </c>
      <c r="T565" s="9">
        <f>Table1[[#This Row],[taxable wages]]+interest+dividends+short_term_capital_gains+long_term_capital_gains-(charitable_donations+mortgage_interest)</f>
        <v>264000</v>
      </c>
      <c r="U565" s="9">
        <f>MAX(amt_exemption-amt_exemption_phase_out_rate*MAX(Table1[[#This Row],[taxable wages]]-amt_phase_out_begins,0),0)</f>
        <v>57725</v>
      </c>
      <c r="V5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54031</v>
      </c>
      <c r="W565" s="1">
        <f>IF(AND(Table1[[#This Row],[AMT Taxes]]&gt;Table1[[#This Row],[Regular Taxes Owed]],Table1[[#This Row],[AMT Taxes]]&gt;0),Table1[[#This Row],[AMT Taxes]]-Table1[[#This Row],[Regular Taxes Owed]],0)</f>
        <v>4591.5</v>
      </c>
      <c r="X565" s="9">
        <f>Table1[[#This Row],[Extra Taxes From Amt]]+Table1[[#This Row],[Federal Taxes Owed (No AMT)]]</f>
        <v>54031</v>
      </c>
      <c r="Y565" s="9">
        <f>IF(Table1[[#This Row],[taxable wages]]&gt;obamacare_surcharge_amount,obamacare_surcharge_percent*(Table1[[#This Row],[taxable wages]]-obamacare_surcharge_amount),0)</f>
        <v>125.99999999999999</v>
      </c>
      <c r="Z565" s="9">
        <f>Table1[[#This Row],[Federal Taxes Owed (Includes AMT)]]+Table1[[#This Row],[Obamacare surcharge premium]]</f>
        <v>54157</v>
      </c>
      <c r="AA565" s="9">
        <f>Table1[[#This Row],[taxable wages]]-Table1[[#This Row],[Federal Taxes Owed2]]</f>
        <v>209843</v>
      </c>
      <c r="AB565" s="51">
        <f t="shared" si="51"/>
        <v>0.35899999999999999</v>
      </c>
      <c r="AC565" s="41"/>
      <c r="AD565" s="13"/>
      <c r="AE565" s="13"/>
    </row>
    <row r="566" spans="2:31" x14ac:dyDescent="0.3">
      <c r="B566" s="41">
        <f t="shared" si="52"/>
        <v>264500</v>
      </c>
      <c r="C566" s="1">
        <f>Table1[[#This Row],[taxable wages]]</f>
        <v>264500</v>
      </c>
      <c r="D566" s="1">
        <f>Table1[[#This Row],[taxable wages]]+interest+dividends+short_term_capital_gains+long_term_capital_gains</f>
        <v>264500</v>
      </c>
      <c r="E566" s="1">
        <f>MAX(Table1[[#This Row],[earned income for EITC]:[Agi For Eitc Calc]])</f>
        <v>264500</v>
      </c>
      <c r="F566" s="1">
        <f>Table1[[#This Row],[taxable wages]]+interest+dividends+short_term_capital_gains+long_term_capital_gains-(trad_ira_contributions+MIN(student_loan_interest_cap,student_loan_interest))</f>
        <v>264500</v>
      </c>
      <c r="G566" s="1">
        <f t="shared" si="48"/>
        <v>12600</v>
      </c>
      <c r="H566" s="1">
        <f t="shared" si="49"/>
        <v>28350</v>
      </c>
      <c r="I566" s="1">
        <f>MAX(0,Table1[[#This Row],[Agi]]-Table1[[#This Row],[Exemptions]]-Table1[[#This Row],[Effective Deductions]])</f>
        <v>223550</v>
      </c>
      <c r="J5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49579.5</v>
      </c>
      <c r="K566" s="1">
        <f t="shared" si="50"/>
        <v>5000</v>
      </c>
      <c r="L566" s="1">
        <f>IF(Table1[[#This Row],[Agi]]&gt;ctc_phase_out_begins,ctc_phase_out_rate*(Table1[[#This Row],[Agi]]-ctc_phase_out_begins),0)</f>
        <v>7725</v>
      </c>
      <c r="M566" s="1">
        <f>MAX(Table1[[#This Row],[Child Tax Credit]]-Table1[[#This Row],[Child Tax Credit Phase Out]],0)</f>
        <v>0</v>
      </c>
      <c r="N566" s="1">
        <f>MAX(Table1[[#This Row],[Regular Taxes Owed]]-Table1[[#This Row],[Effective Child Tax Credit]],0)</f>
        <v>49579.5</v>
      </c>
      <c r="O566" s="1">
        <f>MAX(MIN((Table1[[#This Row],[taxable wages]]-3000)*0.15,1000*num_kids_16_younger),0)</f>
        <v>5000</v>
      </c>
      <c r="P566" s="9">
        <f>IF(Table1[[#This Row],[Effective Child Tax Credit]]&gt;Table1[[#This Row],[Regular Taxes Owed]],Table1[[#This Row],[Additional Child Tax Credit ]]-Table1[[#This Row],[Regular Taxes Owed]],0)</f>
        <v>0</v>
      </c>
      <c r="Q5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6" s="1">
        <f>Table1[[#This Row],[Effective Additional Child Tax Credit]]+Table1[[#This Row],[Eitc]]</f>
        <v>0</v>
      </c>
      <c r="S566" s="9">
        <f>Table1[[#This Row],[Regular Taxes Owed - Effective Child Tax Credit]]-Table1[[#This Row],[Total Credits]]</f>
        <v>49579.5</v>
      </c>
      <c r="T566" s="9">
        <f>Table1[[#This Row],[taxable wages]]+interest+dividends+short_term_capital_gains+long_term_capital_gains-(charitable_donations+mortgage_interest)</f>
        <v>264500</v>
      </c>
      <c r="U566" s="9">
        <f>MAX(amt_exemption-amt_exemption_phase_out_rate*MAX(Table1[[#This Row],[taxable wages]]-amt_phase_out_begins,0),0)</f>
        <v>57600</v>
      </c>
      <c r="V5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54206</v>
      </c>
      <c r="W566" s="1">
        <f>IF(AND(Table1[[#This Row],[AMT Taxes]]&gt;Table1[[#This Row],[Regular Taxes Owed]],Table1[[#This Row],[AMT Taxes]]&gt;0),Table1[[#This Row],[AMT Taxes]]-Table1[[#This Row],[Regular Taxes Owed]],0)</f>
        <v>4626.5</v>
      </c>
      <c r="X566" s="9">
        <f>Table1[[#This Row],[Extra Taxes From Amt]]+Table1[[#This Row],[Federal Taxes Owed (No AMT)]]</f>
        <v>54206</v>
      </c>
      <c r="Y566" s="9">
        <f>IF(Table1[[#This Row],[taxable wages]]&gt;obamacare_surcharge_amount,obamacare_surcharge_percent*(Table1[[#This Row],[taxable wages]]-obamacare_surcharge_amount),0)</f>
        <v>130.5</v>
      </c>
      <c r="Z566" s="9">
        <f>Table1[[#This Row],[Federal Taxes Owed (Includes AMT)]]+Table1[[#This Row],[Obamacare surcharge premium]]</f>
        <v>54336.5</v>
      </c>
      <c r="AA566" s="9">
        <f>Table1[[#This Row],[taxable wages]]-Table1[[#This Row],[Federal Taxes Owed2]]</f>
        <v>210163.5</v>
      </c>
      <c r="AB566" s="51">
        <f t="shared" si="51"/>
        <v>0.35899999999999999</v>
      </c>
      <c r="AC566" s="41"/>
      <c r="AD566" s="13"/>
      <c r="AE566" s="13"/>
    </row>
    <row r="567" spans="2:31" x14ac:dyDescent="0.3">
      <c r="B567" s="41">
        <f t="shared" si="52"/>
        <v>265000</v>
      </c>
      <c r="C567" s="1">
        <f>Table1[[#This Row],[taxable wages]]</f>
        <v>265000</v>
      </c>
      <c r="D567" s="1">
        <f>Table1[[#This Row],[taxable wages]]+interest+dividends+short_term_capital_gains+long_term_capital_gains</f>
        <v>265000</v>
      </c>
      <c r="E567" s="1">
        <f>MAX(Table1[[#This Row],[earned income for EITC]:[Agi For Eitc Calc]])</f>
        <v>265000</v>
      </c>
      <c r="F567" s="1">
        <f>Table1[[#This Row],[taxable wages]]+interest+dividends+short_term_capital_gains+long_term_capital_gains-(trad_ira_contributions+MIN(student_loan_interest_cap,student_loan_interest))</f>
        <v>265000</v>
      </c>
      <c r="G567" s="1">
        <f t="shared" si="48"/>
        <v>12600</v>
      </c>
      <c r="H567" s="1">
        <f t="shared" si="49"/>
        <v>28350</v>
      </c>
      <c r="I567" s="1">
        <f>MAX(0,Table1[[#This Row],[Agi]]-Table1[[#This Row],[Exemptions]]-Table1[[#This Row],[Effective Deductions]])</f>
        <v>224050</v>
      </c>
      <c r="J5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49719.5</v>
      </c>
      <c r="K567" s="1">
        <f t="shared" si="50"/>
        <v>5000</v>
      </c>
      <c r="L567" s="1">
        <f>IF(Table1[[#This Row],[Agi]]&gt;ctc_phase_out_begins,ctc_phase_out_rate*(Table1[[#This Row],[Agi]]-ctc_phase_out_begins),0)</f>
        <v>7750</v>
      </c>
      <c r="M567" s="1">
        <f>MAX(Table1[[#This Row],[Child Tax Credit]]-Table1[[#This Row],[Child Tax Credit Phase Out]],0)</f>
        <v>0</v>
      </c>
      <c r="N567" s="1">
        <f>MAX(Table1[[#This Row],[Regular Taxes Owed]]-Table1[[#This Row],[Effective Child Tax Credit]],0)</f>
        <v>49719.5</v>
      </c>
      <c r="O567" s="1">
        <f>MAX(MIN((Table1[[#This Row],[taxable wages]]-3000)*0.15,1000*num_kids_16_younger),0)</f>
        <v>5000</v>
      </c>
      <c r="P567" s="9">
        <f>IF(Table1[[#This Row],[Effective Child Tax Credit]]&gt;Table1[[#This Row],[Regular Taxes Owed]],Table1[[#This Row],[Additional Child Tax Credit ]]-Table1[[#This Row],[Regular Taxes Owed]],0)</f>
        <v>0</v>
      </c>
      <c r="Q5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7" s="1">
        <f>Table1[[#This Row],[Effective Additional Child Tax Credit]]+Table1[[#This Row],[Eitc]]</f>
        <v>0</v>
      </c>
      <c r="S567" s="9">
        <f>Table1[[#This Row],[Regular Taxes Owed - Effective Child Tax Credit]]-Table1[[#This Row],[Total Credits]]</f>
        <v>49719.5</v>
      </c>
      <c r="T567" s="9">
        <f>Table1[[#This Row],[taxable wages]]+interest+dividends+short_term_capital_gains+long_term_capital_gains-(charitable_donations+mortgage_interest)</f>
        <v>265000</v>
      </c>
      <c r="U567" s="9">
        <f>MAX(amt_exemption-amt_exemption_phase_out_rate*MAX(Table1[[#This Row],[taxable wages]]-amt_phase_out_begins,0),0)</f>
        <v>57475</v>
      </c>
      <c r="V5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54381</v>
      </c>
      <c r="W567" s="1">
        <f>IF(AND(Table1[[#This Row],[AMT Taxes]]&gt;Table1[[#This Row],[Regular Taxes Owed]],Table1[[#This Row],[AMT Taxes]]&gt;0),Table1[[#This Row],[AMT Taxes]]-Table1[[#This Row],[Regular Taxes Owed]],0)</f>
        <v>4661.5</v>
      </c>
      <c r="X567" s="9">
        <f>Table1[[#This Row],[Extra Taxes From Amt]]+Table1[[#This Row],[Federal Taxes Owed (No AMT)]]</f>
        <v>54381</v>
      </c>
      <c r="Y567" s="9">
        <f>IF(Table1[[#This Row],[taxable wages]]&gt;obamacare_surcharge_amount,obamacare_surcharge_percent*(Table1[[#This Row],[taxable wages]]-obamacare_surcharge_amount),0)</f>
        <v>135</v>
      </c>
      <c r="Z567" s="9">
        <f>Table1[[#This Row],[Federal Taxes Owed (Includes AMT)]]+Table1[[#This Row],[Obamacare surcharge premium]]</f>
        <v>54516</v>
      </c>
      <c r="AA567" s="9">
        <f>Table1[[#This Row],[taxable wages]]-Table1[[#This Row],[Federal Taxes Owed2]]</f>
        <v>210484</v>
      </c>
      <c r="AB567" s="51">
        <f t="shared" si="51"/>
        <v>0.35899999999999999</v>
      </c>
      <c r="AC567" s="41"/>
      <c r="AD567" s="13"/>
      <c r="AE567" s="13"/>
    </row>
    <row r="568" spans="2:31" x14ac:dyDescent="0.3">
      <c r="B568" s="41">
        <f t="shared" si="52"/>
        <v>265500</v>
      </c>
      <c r="C568" s="1">
        <f>Table1[[#This Row],[taxable wages]]</f>
        <v>265500</v>
      </c>
      <c r="D568" s="1">
        <f>Table1[[#This Row],[taxable wages]]+interest+dividends+short_term_capital_gains+long_term_capital_gains</f>
        <v>265500</v>
      </c>
      <c r="E568" s="1">
        <f>MAX(Table1[[#This Row],[earned income for EITC]:[Agi For Eitc Calc]])</f>
        <v>265500</v>
      </c>
      <c r="F568" s="1">
        <f>Table1[[#This Row],[taxable wages]]+interest+dividends+short_term_capital_gains+long_term_capital_gains-(trad_ira_contributions+MIN(student_loan_interest_cap,student_loan_interest))</f>
        <v>265500</v>
      </c>
      <c r="G568" s="1">
        <f t="shared" si="48"/>
        <v>12600</v>
      </c>
      <c r="H568" s="1">
        <f t="shared" si="49"/>
        <v>28350</v>
      </c>
      <c r="I568" s="1">
        <f>MAX(0,Table1[[#This Row],[Agi]]-Table1[[#This Row],[Exemptions]]-Table1[[#This Row],[Effective Deductions]])</f>
        <v>224550</v>
      </c>
      <c r="J5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49859.5</v>
      </c>
      <c r="K568" s="1">
        <f t="shared" si="50"/>
        <v>5000</v>
      </c>
      <c r="L568" s="1">
        <f>IF(Table1[[#This Row],[Agi]]&gt;ctc_phase_out_begins,ctc_phase_out_rate*(Table1[[#This Row],[Agi]]-ctc_phase_out_begins),0)</f>
        <v>7775</v>
      </c>
      <c r="M568" s="1">
        <f>MAX(Table1[[#This Row],[Child Tax Credit]]-Table1[[#This Row],[Child Tax Credit Phase Out]],0)</f>
        <v>0</v>
      </c>
      <c r="N568" s="1">
        <f>MAX(Table1[[#This Row],[Regular Taxes Owed]]-Table1[[#This Row],[Effective Child Tax Credit]],0)</f>
        <v>49859.5</v>
      </c>
      <c r="O568" s="1">
        <f>MAX(MIN((Table1[[#This Row],[taxable wages]]-3000)*0.15,1000*num_kids_16_younger),0)</f>
        <v>5000</v>
      </c>
      <c r="P568" s="9">
        <f>IF(Table1[[#This Row],[Effective Child Tax Credit]]&gt;Table1[[#This Row],[Regular Taxes Owed]],Table1[[#This Row],[Additional Child Tax Credit ]]-Table1[[#This Row],[Regular Taxes Owed]],0)</f>
        <v>0</v>
      </c>
      <c r="Q5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8" s="1">
        <f>Table1[[#This Row],[Effective Additional Child Tax Credit]]+Table1[[#This Row],[Eitc]]</f>
        <v>0</v>
      </c>
      <c r="S568" s="9">
        <f>Table1[[#This Row],[Regular Taxes Owed - Effective Child Tax Credit]]-Table1[[#This Row],[Total Credits]]</f>
        <v>49859.5</v>
      </c>
      <c r="T568" s="9">
        <f>Table1[[#This Row],[taxable wages]]+interest+dividends+short_term_capital_gains+long_term_capital_gains-(charitable_donations+mortgage_interest)</f>
        <v>265500</v>
      </c>
      <c r="U568" s="9">
        <f>MAX(amt_exemption-amt_exemption_phase_out_rate*MAX(Table1[[#This Row],[taxable wages]]-amt_phase_out_begins,0),0)</f>
        <v>57350</v>
      </c>
      <c r="V5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54556</v>
      </c>
      <c r="W568" s="1">
        <f>IF(AND(Table1[[#This Row],[AMT Taxes]]&gt;Table1[[#This Row],[Regular Taxes Owed]],Table1[[#This Row],[AMT Taxes]]&gt;0),Table1[[#This Row],[AMT Taxes]]-Table1[[#This Row],[Regular Taxes Owed]],0)</f>
        <v>4696.5</v>
      </c>
      <c r="X568" s="9">
        <f>Table1[[#This Row],[Extra Taxes From Amt]]+Table1[[#This Row],[Federal Taxes Owed (No AMT)]]</f>
        <v>54556</v>
      </c>
      <c r="Y568" s="9">
        <f>IF(Table1[[#This Row],[taxable wages]]&gt;obamacare_surcharge_amount,obamacare_surcharge_percent*(Table1[[#This Row],[taxable wages]]-obamacare_surcharge_amount),0)</f>
        <v>139.5</v>
      </c>
      <c r="Z568" s="9">
        <f>Table1[[#This Row],[Federal Taxes Owed (Includes AMT)]]+Table1[[#This Row],[Obamacare surcharge premium]]</f>
        <v>54695.5</v>
      </c>
      <c r="AA568" s="9">
        <f>Table1[[#This Row],[taxable wages]]-Table1[[#This Row],[Federal Taxes Owed2]]</f>
        <v>210804.5</v>
      </c>
      <c r="AB568" s="51">
        <f t="shared" si="51"/>
        <v>0.35899999999999999</v>
      </c>
      <c r="AC568" s="41"/>
      <c r="AD568" s="13"/>
      <c r="AE568" s="13"/>
    </row>
    <row r="569" spans="2:31" x14ac:dyDescent="0.3">
      <c r="B569" s="41">
        <f t="shared" si="52"/>
        <v>266000</v>
      </c>
      <c r="C569" s="1">
        <f>Table1[[#This Row],[taxable wages]]</f>
        <v>266000</v>
      </c>
      <c r="D569" s="1">
        <f>Table1[[#This Row],[taxable wages]]+interest+dividends+short_term_capital_gains+long_term_capital_gains</f>
        <v>266000</v>
      </c>
      <c r="E569" s="1">
        <f>MAX(Table1[[#This Row],[earned income for EITC]:[Agi For Eitc Calc]])</f>
        <v>266000</v>
      </c>
      <c r="F569" s="1">
        <f>Table1[[#This Row],[taxable wages]]+interest+dividends+short_term_capital_gains+long_term_capital_gains-(trad_ira_contributions+MIN(student_loan_interest_cap,student_loan_interest))</f>
        <v>266000</v>
      </c>
      <c r="G569" s="1">
        <f t="shared" si="48"/>
        <v>12600</v>
      </c>
      <c r="H569" s="1">
        <f t="shared" si="49"/>
        <v>28350</v>
      </c>
      <c r="I569" s="1">
        <f>MAX(0,Table1[[#This Row],[Agi]]-Table1[[#This Row],[Exemptions]]-Table1[[#This Row],[Effective Deductions]])</f>
        <v>225050</v>
      </c>
      <c r="J5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49999.5</v>
      </c>
      <c r="K569" s="1">
        <f t="shared" si="50"/>
        <v>5000</v>
      </c>
      <c r="L569" s="1">
        <f>IF(Table1[[#This Row],[Agi]]&gt;ctc_phase_out_begins,ctc_phase_out_rate*(Table1[[#This Row],[Agi]]-ctc_phase_out_begins),0)</f>
        <v>7800</v>
      </c>
      <c r="M569" s="1">
        <f>MAX(Table1[[#This Row],[Child Tax Credit]]-Table1[[#This Row],[Child Tax Credit Phase Out]],0)</f>
        <v>0</v>
      </c>
      <c r="N569" s="1">
        <f>MAX(Table1[[#This Row],[Regular Taxes Owed]]-Table1[[#This Row],[Effective Child Tax Credit]],0)</f>
        <v>49999.5</v>
      </c>
      <c r="O569" s="1">
        <f>MAX(MIN((Table1[[#This Row],[taxable wages]]-3000)*0.15,1000*num_kids_16_younger),0)</f>
        <v>5000</v>
      </c>
      <c r="P569" s="9">
        <f>IF(Table1[[#This Row],[Effective Child Tax Credit]]&gt;Table1[[#This Row],[Regular Taxes Owed]],Table1[[#This Row],[Additional Child Tax Credit ]]-Table1[[#This Row],[Regular Taxes Owed]],0)</f>
        <v>0</v>
      </c>
      <c r="Q5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69" s="1">
        <f>Table1[[#This Row],[Effective Additional Child Tax Credit]]+Table1[[#This Row],[Eitc]]</f>
        <v>0</v>
      </c>
      <c r="S569" s="9">
        <f>Table1[[#This Row],[Regular Taxes Owed - Effective Child Tax Credit]]-Table1[[#This Row],[Total Credits]]</f>
        <v>49999.5</v>
      </c>
      <c r="T569" s="9">
        <f>Table1[[#This Row],[taxable wages]]+interest+dividends+short_term_capital_gains+long_term_capital_gains-(charitable_donations+mortgage_interest)</f>
        <v>266000</v>
      </c>
      <c r="U569" s="9">
        <f>MAX(amt_exemption-amt_exemption_phase_out_rate*MAX(Table1[[#This Row],[taxable wages]]-amt_phase_out_begins,0),0)</f>
        <v>57225</v>
      </c>
      <c r="V5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54731</v>
      </c>
      <c r="W569" s="1">
        <f>IF(AND(Table1[[#This Row],[AMT Taxes]]&gt;Table1[[#This Row],[Regular Taxes Owed]],Table1[[#This Row],[AMT Taxes]]&gt;0),Table1[[#This Row],[AMT Taxes]]-Table1[[#This Row],[Regular Taxes Owed]],0)</f>
        <v>4731.5</v>
      </c>
      <c r="X569" s="9">
        <f>Table1[[#This Row],[Extra Taxes From Amt]]+Table1[[#This Row],[Federal Taxes Owed (No AMT)]]</f>
        <v>54731</v>
      </c>
      <c r="Y569" s="9">
        <f>IF(Table1[[#This Row],[taxable wages]]&gt;obamacare_surcharge_amount,obamacare_surcharge_percent*(Table1[[#This Row],[taxable wages]]-obamacare_surcharge_amount),0)</f>
        <v>144</v>
      </c>
      <c r="Z569" s="9">
        <f>Table1[[#This Row],[Federal Taxes Owed (Includes AMT)]]+Table1[[#This Row],[Obamacare surcharge premium]]</f>
        <v>54875</v>
      </c>
      <c r="AA569" s="9">
        <f>Table1[[#This Row],[taxable wages]]-Table1[[#This Row],[Federal Taxes Owed2]]</f>
        <v>211125</v>
      </c>
      <c r="AB569" s="51">
        <f t="shared" si="51"/>
        <v>0.35899999999999999</v>
      </c>
      <c r="AC569" s="41"/>
      <c r="AD569" s="13"/>
      <c r="AE569" s="13"/>
    </row>
    <row r="570" spans="2:31" x14ac:dyDescent="0.3">
      <c r="B570" s="41">
        <f t="shared" si="52"/>
        <v>266500</v>
      </c>
      <c r="C570" s="1">
        <f>Table1[[#This Row],[taxable wages]]</f>
        <v>266500</v>
      </c>
      <c r="D570" s="1">
        <f>Table1[[#This Row],[taxable wages]]+interest+dividends+short_term_capital_gains+long_term_capital_gains</f>
        <v>266500</v>
      </c>
      <c r="E570" s="1">
        <f>MAX(Table1[[#This Row],[earned income for EITC]:[Agi For Eitc Calc]])</f>
        <v>266500</v>
      </c>
      <c r="F570" s="1">
        <f>Table1[[#This Row],[taxable wages]]+interest+dividends+short_term_capital_gains+long_term_capital_gains-(trad_ira_contributions+MIN(student_loan_interest_cap,student_loan_interest))</f>
        <v>266500</v>
      </c>
      <c r="G570" s="1">
        <f t="shared" si="48"/>
        <v>12600</v>
      </c>
      <c r="H570" s="1">
        <f t="shared" si="49"/>
        <v>28350</v>
      </c>
      <c r="I570" s="1">
        <f>MAX(0,Table1[[#This Row],[Agi]]-Table1[[#This Row],[Exemptions]]-Table1[[#This Row],[Effective Deductions]])</f>
        <v>225550</v>
      </c>
      <c r="J5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50139.5</v>
      </c>
      <c r="K570" s="1">
        <f t="shared" si="50"/>
        <v>5000</v>
      </c>
      <c r="L570" s="1">
        <f>IF(Table1[[#This Row],[Agi]]&gt;ctc_phase_out_begins,ctc_phase_out_rate*(Table1[[#This Row],[Agi]]-ctc_phase_out_begins),0)</f>
        <v>7825</v>
      </c>
      <c r="M570" s="1">
        <f>MAX(Table1[[#This Row],[Child Tax Credit]]-Table1[[#This Row],[Child Tax Credit Phase Out]],0)</f>
        <v>0</v>
      </c>
      <c r="N570" s="1">
        <f>MAX(Table1[[#This Row],[Regular Taxes Owed]]-Table1[[#This Row],[Effective Child Tax Credit]],0)</f>
        <v>50139.5</v>
      </c>
      <c r="O570" s="1">
        <f>MAX(MIN((Table1[[#This Row],[taxable wages]]-3000)*0.15,1000*num_kids_16_younger),0)</f>
        <v>5000</v>
      </c>
      <c r="P570" s="9">
        <f>IF(Table1[[#This Row],[Effective Child Tax Credit]]&gt;Table1[[#This Row],[Regular Taxes Owed]],Table1[[#This Row],[Additional Child Tax Credit ]]-Table1[[#This Row],[Regular Taxes Owed]],0)</f>
        <v>0</v>
      </c>
      <c r="Q5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0" s="1">
        <f>Table1[[#This Row],[Effective Additional Child Tax Credit]]+Table1[[#This Row],[Eitc]]</f>
        <v>0</v>
      </c>
      <c r="S570" s="9">
        <f>Table1[[#This Row],[Regular Taxes Owed - Effective Child Tax Credit]]-Table1[[#This Row],[Total Credits]]</f>
        <v>50139.5</v>
      </c>
      <c r="T570" s="9">
        <f>Table1[[#This Row],[taxable wages]]+interest+dividends+short_term_capital_gains+long_term_capital_gains-(charitable_donations+mortgage_interest)</f>
        <v>266500</v>
      </c>
      <c r="U570" s="9">
        <f>MAX(amt_exemption-amt_exemption_phase_out_rate*MAX(Table1[[#This Row],[taxable wages]]-amt_phase_out_begins,0),0)</f>
        <v>57100</v>
      </c>
      <c r="V5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54906</v>
      </c>
      <c r="W570" s="1">
        <f>IF(AND(Table1[[#This Row],[AMT Taxes]]&gt;Table1[[#This Row],[Regular Taxes Owed]],Table1[[#This Row],[AMT Taxes]]&gt;0),Table1[[#This Row],[AMT Taxes]]-Table1[[#This Row],[Regular Taxes Owed]],0)</f>
        <v>4766.5</v>
      </c>
      <c r="X570" s="9">
        <f>Table1[[#This Row],[Extra Taxes From Amt]]+Table1[[#This Row],[Federal Taxes Owed (No AMT)]]</f>
        <v>54906</v>
      </c>
      <c r="Y570" s="9">
        <f>IF(Table1[[#This Row],[taxable wages]]&gt;obamacare_surcharge_amount,obamacare_surcharge_percent*(Table1[[#This Row],[taxable wages]]-obamacare_surcharge_amount),0)</f>
        <v>148.5</v>
      </c>
      <c r="Z570" s="9">
        <f>Table1[[#This Row],[Federal Taxes Owed (Includes AMT)]]+Table1[[#This Row],[Obamacare surcharge premium]]</f>
        <v>55054.5</v>
      </c>
      <c r="AA570" s="9">
        <f>Table1[[#This Row],[taxable wages]]-Table1[[#This Row],[Federal Taxes Owed2]]</f>
        <v>211445.5</v>
      </c>
      <c r="AB570" s="51">
        <f t="shared" si="51"/>
        <v>0.35899999999999999</v>
      </c>
      <c r="AC570" s="41"/>
      <c r="AD570" s="13"/>
      <c r="AE570" s="13"/>
    </row>
    <row r="571" spans="2:31" x14ac:dyDescent="0.3">
      <c r="B571" s="41">
        <f t="shared" si="52"/>
        <v>267000</v>
      </c>
      <c r="C571" s="1">
        <f>Table1[[#This Row],[taxable wages]]</f>
        <v>267000</v>
      </c>
      <c r="D571" s="1">
        <f>Table1[[#This Row],[taxable wages]]+interest+dividends+short_term_capital_gains+long_term_capital_gains</f>
        <v>267000</v>
      </c>
      <c r="E571" s="1">
        <f>MAX(Table1[[#This Row],[earned income for EITC]:[Agi For Eitc Calc]])</f>
        <v>267000</v>
      </c>
      <c r="F571" s="1">
        <f>Table1[[#This Row],[taxable wages]]+interest+dividends+short_term_capital_gains+long_term_capital_gains-(trad_ira_contributions+MIN(student_loan_interest_cap,student_loan_interest))</f>
        <v>267000</v>
      </c>
      <c r="G571" s="1">
        <f t="shared" si="48"/>
        <v>12600</v>
      </c>
      <c r="H571" s="1">
        <f t="shared" si="49"/>
        <v>28350</v>
      </c>
      <c r="I571" s="1">
        <f>MAX(0,Table1[[#This Row],[Agi]]-Table1[[#This Row],[Exemptions]]-Table1[[#This Row],[Effective Deductions]])</f>
        <v>226050</v>
      </c>
      <c r="J5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50279.5</v>
      </c>
      <c r="K571" s="1">
        <f t="shared" si="50"/>
        <v>5000</v>
      </c>
      <c r="L571" s="1">
        <f>IF(Table1[[#This Row],[Agi]]&gt;ctc_phase_out_begins,ctc_phase_out_rate*(Table1[[#This Row],[Agi]]-ctc_phase_out_begins),0)</f>
        <v>7850</v>
      </c>
      <c r="M571" s="1">
        <f>MAX(Table1[[#This Row],[Child Tax Credit]]-Table1[[#This Row],[Child Tax Credit Phase Out]],0)</f>
        <v>0</v>
      </c>
      <c r="N571" s="1">
        <f>MAX(Table1[[#This Row],[Regular Taxes Owed]]-Table1[[#This Row],[Effective Child Tax Credit]],0)</f>
        <v>50279.5</v>
      </c>
      <c r="O571" s="1">
        <f>MAX(MIN((Table1[[#This Row],[taxable wages]]-3000)*0.15,1000*num_kids_16_younger),0)</f>
        <v>5000</v>
      </c>
      <c r="P571" s="9">
        <f>IF(Table1[[#This Row],[Effective Child Tax Credit]]&gt;Table1[[#This Row],[Regular Taxes Owed]],Table1[[#This Row],[Additional Child Tax Credit ]]-Table1[[#This Row],[Regular Taxes Owed]],0)</f>
        <v>0</v>
      </c>
      <c r="Q5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1" s="1">
        <f>Table1[[#This Row],[Effective Additional Child Tax Credit]]+Table1[[#This Row],[Eitc]]</f>
        <v>0</v>
      </c>
      <c r="S571" s="9">
        <f>Table1[[#This Row],[Regular Taxes Owed - Effective Child Tax Credit]]-Table1[[#This Row],[Total Credits]]</f>
        <v>50279.5</v>
      </c>
      <c r="T571" s="9">
        <f>Table1[[#This Row],[taxable wages]]+interest+dividends+short_term_capital_gains+long_term_capital_gains-(charitable_donations+mortgage_interest)</f>
        <v>267000</v>
      </c>
      <c r="U571" s="9">
        <f>MAX(amt_exemption-amt_exemption_phase_out_rate*MAX(Table1[[#This Row],[taxable wages]]-amt_phase_out_begins,0),0)</f>
        <v>56975</v>
      </c>
      <c r="V5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55081</v>
      </c>
      <c r="W571" s="1">
        <f>IF(AND(Table1[[#This Row],[AMT Taxes]]&gt;Table1[[#This Row],[Regular Taxes Owed]],Table1[[#This Row],[AMT Taxes]]&gt;0),Table1[[#This Row],[AMT Taxes]]-Table1[[#This Row],[Regular Taxes Owed]],0)</f>
        <v>4801.5</v>
      </c>
      <c r="X571" s="9">
        <f>Table1[[#This Row],[Extra Taxes From Amt]]+Table1[[#This Row],[Federal Taxes Owed (No AMT)]]</f>
        <v>55081</v>
      </c>
      <c r="Y571" s="9">
        <f>IF(Table1[[#This Row],[taxable wages]]&gt;obamacare_surcharge_amount,obamacare_surcharge_percent*(Table1[[#This Row],[taxable wages]]-obamacare_surcharge_amount),0)</f>
        <v>153</v>
      </c>
      <c r="Z571" s="9">
        <f>Table1[[#This Row],[Federal Taxes Owed (Includes AMT)]]+Table1[[#This Row],[Obamacare surcharge premium]]</f>
        <v>55234</v>
      </c>
      <c r="AA571" s="9">
        <f>Table1[[#This Row],[taxable wages]]-Table1[[#This Row],[Federal Taxes Owed2]]</f>
        <v>211766</v>
      </c>
      <c r="AB571" s="51">
        <f t="shared" si="51"/>
        <v>0.35899999999999999</v>
      </c>
      <c r="AC571" s="41"/>
      <c r="AD571" s="13"/>
      <c r="AE571" s="13"/>
    </row>
    <row r="572" spans="2:31" x14ac:dyDescent="0.3">
      <c r="B572" s="41">
        <f t="shared" si="52"/>
        <v>267500</v>
      </c>
      <c r="C572" s="1">
        <f>Table1[[#This Row],[taxable wages]]</f>
        <v>267500</v>
      </c>
      <c r="D572" s="1">
        <f>Table1[[#This Row],[taxable wages]]+interest+dividends+short_term_capital_gains+long_term_capital_gains</f>
        <v>267500</v>
      </c>
      <c r="E572" s="1">
        <f>MAX(Table1[[#This Row],[earned income for EITC]:[Agi For Eitc Calc]])</f>
        <v>267500</v>
      </c>
      <c r="F572" s="1">
        <f>Table1[[#This Row],[taxable wages]]+interest+dividends+short_term_capital_gains+long_term_capital_gains-(trad_ira_contributions+MIN(student_loan_interest_cap,student_loan_interest))</f>
        <v>267500</v>
      </c>
      <c r="G572" s="1">
        <f t="shared" si="48"/>
        <v>12600</v>
      </c>
      <c r="H572" s="1">
        <f t="shared" si="49"/>
        <v>28350</v>
      </c>
      <c r="I572" s="1">
        <f>MAX(0,Table1[[#This Row],[Agi]]-Table1[[#This Row],[Exemptions]]-Table1[[#This Row],[Effective Deductions]])</f>
        <v>226550</v>
      </c>
      <c r="J5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50419.5</v>
      </c>
      <c r="K572" s="1">
        <f t="shared" si="50"/>
        <v>5000</v>
      </c>
      <c r="L572" s="1">
        <f>IF(Table1[[#This Row],[Agi]]&gt;ctc_phase_out_begins,ctc_phase_out_rate*(Table1[[#This Row],[Agi]]-ctc_phase_out_begins),0)</f>
        <v>7875</v>
      </c>
      <c r="M572" s="1">
        <f>MAX(Table1[[#This Row],[Child Tax Credit]]-Table1[[#This Row],[Child Tax Credit Phase Out]],0)</f>
        <v>0</v>
      </c>
      <c r="N572" s="1">
        <f>MAX(Table1[[#This Row],[Regular Taxes Owed]]-Table1[[#This Row],[Effective Child Tax Credit]],0)</f>
        <v>50419.5</v>
      </c>
      <c r="O572" s="1">
        <f>MAX(MIN((Table1[[#This Row],[taxable wages]]-3000)*0.15,1000*num_kids_16_younger),0)</f>
        <v>5000</v>
      </c>
      <c r="P572" s="9">
        <f>IF(Table1[[#This Row],[Effective Child Tax Credit]]&gt;Table1[[#This Row],[Regular Taxes Owed]],Table1[[#This Row],[Additional Child Tax Credit ]]-Table1[[#This Row],[Regular Taxes Owed]],0)</f>
        <v>0</v>
      </c>
      <c r="Q5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2" s="1">
        <f>Table1[[#This Row],[Effective Additional Child Tax Credit]]+Table1[[#This Row],[Eitc]]</f>
        <v>0</v>
      </c>
      <c r="S572" s="9">
        <f>Table1[[#This Row],[Regular Taxes Owed - Effective Child Tax Credit]]-Table1[[#This Row],[Total Credits]]</f>
        <v>50419.5</v>
      </c>
      <c r="T572" s="9">
        <f>Table1[[#This Row],[taxable wages]]+interest+dividends+short_term_capital_gains+long_term_capital_gains-(charitable_donations+mortgage_interest)</f>
        <v>267500</v>
      </c>
      <c r="U572" s="9">
        <f>MAX(amt_exemption-amt_exemption_phase_out_rate*MAX(Table1[[#This Row],[taxable wages]]-amt_phase_out_begins,0),0)</f>
        <v>56850</v>
      </c>
      <c r="V5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55256</v>
      </c>
      <c r="W572" s="1">
        <f>IF(AND(Table1[[#This Row],[AMT Taxes]]&gt;Table1[[#This Row],[Regular Taxes Owed]],Table1[[#This Row],[AMT Taxes]]&gt;0),Table1[[#This Row],[AMT Taxes]]-Table1[[#This Row],[Regular Taxes Owed]],0)</f>
        <v>4836.5</v>
      </c>
      <c r="X572" s="9">
        <f>Table1[[#This Row],[Extra Taxes From Amt]]+Table1[[#This Row],[Federal Taxes Owed (No AMT)]]</f>
        <v>55256</v>
      </c>
      <c r="Y572" s="9">
        <f>IF(Table1[[#This Row],[taxable wages]]&gt;obamacare_surcharge_amount,obamacare_surcharge_percent*(Table1[[#This Row],[taxable wages]]-obamacare_surcharge_amount),0)</f>
        <v>157.5</v>
      </c>
      <c r="Z572" s="9">
        <f>Table1[[#This Row],[Federal Taxes Owed (Includes AMT)]]+Table1[[#This Row],[Obamacare surcharge premium]]</f>
        <v>55413.5</v>
      </c>
      <c r="AA572" s="9">
        <f>Table1[[#This Row],[taxable wages]]-Table1[[#This Row],[Federal Taxes Owed2]]</f>
        <v>212086.5</v>
      </c>
      <c r="AB572" s="51">
        <f t="shared" si="51"/>
        <v>0.35899999999999999</v>
      </c>
      <c r="AC572" s="41"/>
      <c r="AD572" s="13"/>
      <c r="AE572" s="13"/>
    </row>
    <row r="573" spans="2:31" x14ac:dyDescent="0.3">
      <c r="B573" s="41">
        <f t="shared" si="52"/>
        <v>268000</v>
      </c>
      <c r="C573" s="1">
        <f>Table1[[#This Row],[taxable wages]]</f>
        <v>268000</v>
      </c>
      <c r="D573" s="1">
        <f>Table1[[#This Row],[taxable wages]]+interest+dividends+short_term_capital_gains+long_term_capital_gains</f>
        <v>268000</v>
      </c>
      <c r="E573" s="1">
        <f>MAX(Table1[[#This Row],[earned income for EITC]:[Agi For Eitc Calc]])</f>
        <v>268000</v>
      </c>
      <c r="F573" s="1">
        <f>Table1[[#This Row],[taxable wages]]+interest+dividends+short_term_capital_gains+long_term_capital_gains-(trad_ira_contributions+MIN(student_loan_interest_cap,student_loan_interest))</f>
        <v>268000</v>
      </c>
      <c r="G573" s="1">
        <f t="shared" si="48"/>
        <v>12600</v>
      </c>
      <c r="H573" s="1">
        <f t="shared" si="49"/>
        <v>28350</v>
      </c>
      <c r="I573" s="1">
        <f>MAX(0,Table1[[#This Row],[Agi]]-Table1[[#This Row],[Exemptions]]-Table1[[#This Row],[Effective Deductions]])</f>
        <v>227050</v>
      </c>
      <c r="J5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50559.5</v>
      </c>
      <c r="K573" s="1">
        <f t="shared" si="50"/>
        <v>5000</v>
      </c>
      <c r="L573" s="1">
        <f>IF(Table1[[#This Row],[Agi]]&gt;ctc_phase_out_begins,ctc_phase_out_rate*(Table1[[#This Row],[Agi]]-ctc_phase_out_begins),0)</f>
        <v>7900</v>
      </c>
      <c r="M573" s="1">
        <f>MAX(Table1[[#This Row],[Child Tax Credit]]-Table1[[#This Row],[Child Tax Credit Phase Out]],0)</f>
        <v>0</v>
      </c>
      <c r="N573" s="1">
        <f>MAX(Table1[[#This Row],[Regular Taxes Owed]]-Table1[[#This Row],[Effective Child Tax Credit]],0)</f>
        <v>50559.5</v>
      </c>
      <c r="O573" s="1">
        <f>MAX(MIN((Table1[[#This Row],[taxable wages]]-3000)*0.15,1000*num_kids_16_younger),0)</f>
        <v>5000</v>
      </c>
      <c r="P573" s="9">
        <f>IF(Table1[[#This Row],[Effective Child Tax Credit]]&gt;Table1[[#This Row],[Regular Taxes Owed]],Table1[[#This Row],[Additional Child Tax Credit ]]-Table1[[#This Row],[Regular Taxes Owed]],0)</f>
        <v>0</v>
      </c>
      <c r="Q5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3" s="1">
        <f>Table1[[#This Row],[Effective Additional Child Tax Credit]]+Table1[[#This Row],[Eitc]]</f>
        <v>0</v>
      </c>
      <c r="S573" s="9">
        <f>Table1[[#This Row],[Regular Taxes Owed - Effective Child Tax Credit]]-Table1[[#This Row],[Total Credits]]</f>
        <v>50559.5</v>
      </c>
      <c r="T573" s="9">
        <f>Table1[[#This Row],[taxable wages]]+interest+dividends+short_term_capital_gains+long_term_capital_gains-(charitable_donations+mortgage_interest)</f>
        <v>268000</v>
      </c>
      <c r="U573" s="9">
        <f>MAX(amt_exemption-amt_exemption_phase_out_rate*MAX(Table1[[#This Row],[taxable wages]]-amt_phase_out_begins,0),0)</f>
        <v>56725</v>
      </c>
      <c r="V5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55431</v>
      </c>
      <c r="W573" s="1">
        <f>IF(AND(Table1[[#This Row],[AMT Taxes]]&gt;Table1[[#This Row],[Regular Taxes Owed]],Table1[[#This Row],[AMT Taxes]]&gt;0),Table1[[#This Row],[AMT Taxes]]-Table1[[#This Row],[Regular Taxes Owed]],0)</f>
        <v>4871.5</v>
      </c>
      <c r="X573" s="9">
        <f>Table1[[#This Row],[Extra Taxes From Amt]]+Table1[[#This Row],[Federal Taxes Owed (No AMT)]]</f>
        <v>55431</v>
      </c>
      <c r="Y573" s="9">
        <f>IF(Table1[[#This Row],[taxable wages]]&gt;obamacare_surcharge_amount,obamacare_surcharge_percent*(Table1[[#This Row],[taxable wages]]-obamacare_surcharge_amount),0)</f>
        <v>162</v>
      </c>
      <c r="Z573" s="9">
        <f>Table1[[#This Row],[Federal Taxes Owed (Includes AMT)]]+Table1[[#This Row],[Obamacare surcharge premium]]</f>
        <v>55593</v>
      </c>
      <c r="AA573" s="9">
        <f>Table1[[#This Row],[taxable wages]]-Table1[[#This Row],[Federal Taxes Owed2]]</f>
        <v>212407</v>
      </c>
      <c r="AB573" s="51">
        <f t="shared" si="51"/>
        <v>0.35899999999999999</v>
      </c>
      <c r="AC573" s="41"/>
      <c r="AD573" s="13"/>
      <c r="AE573" s="13"/>
    </row>
    <row r="574" spans="2:31" x14ac:dyDescent="0.3">
      <c r="B574" s="41">
        <f t="shared" si="52"/>
        <v>268500</v>
      </c>
      <c r="C574" s="1">
        <f>Table1[[#This Row],[taxable wages]]</f>
        <v>268500</v>
      </c>
      <c r="D574" s="1">
        <f>Table1[[#This Row],[taxable wages]]+interest+dividends+short_term_capital_gains+long_term_capital_gains</f>
        <v>268500</v>
      </c>
      <c r="E574" s="1">
        <f>MAX(Table1[[#This Row],[earned income for EITC]:[Agi For Eitc Calc]])</f>
        <v>268500</v>
      </c>
      <c r="F574" s="1">
        <f>Table1[[#This Row],[taxable wages]]+interest+dividends+short_term_capital_gains+long_term_capital_gains-(trad_ira_contributions+MIN(student_loan_interest_cap,student_loan_interest))</f>
        <v>268500</v>
      </c>
      <c r="G574" s="1">
        <f t="shared" si="48"/>
        <v>12600</v>
      </c>
      <c r="H574" s="1">
        <f t="shared" si="49"/>
        <v>28350</v>
      </c>
      <c r="I574" s="1">
        <f>MAX(0,Table1[[#This Row],[Agi]]-Table1[[#This Row],[Exemptions]]-Table1[[#This Row],[Effective Deductions]])</f>
        <v>227550</v>
      </c>
      <c r="J5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50699.5</v>
      </c>
      <c r="K574" s="1">
        <f t="shared" si="50"/>
        <v>5000</v>
      </c>
      <c r="L574" s="1">
        <f>IF(Table1[[#This Row],[Agi]]&gt;ctc_phase_out_begins,ctc_phase_out_rate*(Table1[[#This Row],[Agi]]-ctc_phase_out_begins),0)</f>
        <v>7925</v>
      </c>
      <c r="M574" s="1">
        <f>MAX(Table1[[#This Row],[Child Tax Credit]]-Table1[[#This Row],[Child Tax Credit Phase Out]],0)</f>
        <v>0</v>
      </c>
      <c r="N574" s="1">
        <f>MAX(Table1[[#This Row],[Regular Taxes Owed]]-Table1[[#This Row],[Effective Child Tax Credit]],0)</f>
        <v>50699.5</v>
      </c>
      <c r="O574" s="1">
        <f>MAX(MIN((Table1[[#This Row],[taxable wages]]-3000)*0.15,1000*num_kids_16_younger),0)</f>
        <v>5000</v>
      </c>
      <c r="P574" s="9">
        <f>IF(Table1[[#This Row],[Effective Child Tax Credit]]&gt;Table1[[#This Row],[Regular Taxes Owed]],Table1[[#This Row],[Additional Child Tax Credit ]]-Table1[[#This Row],[Regular Taxes Owed]],0)</f>
        <v>0</v>
      </c>
      <c r="Q5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4" s="1">
        <f>Table1[[#This Row],[Effective Additional Child Tax Credit]]+Table1[[#This Row],[Eitc]]</f>
        <v>0</v>
      </c>
      <c r="S574" s="9">
        <f>Table1[[#This Row],[Regular Taxes Owed - Effective Child Tax Credit]]-Table1[[#This Row],[Total Credits]]</f>
        <v>50699.5</v>
      </c>
      <c r="T574" s="9">
        <f>Table1[[#This Row],[taxable wages]]+interest+dividends+short_term_capital_gains+long_term_capital_gains-(charitable_donations+mortgage_interest)</f>
        <v>268500</v>
      </c>
      <c r="U574" s="9">
        <f>MAX(amt_exemption-amt_exemption_phase_out_rate*MAX(Table1[[#This Row],[taxable wages]]-amt_phase_out_begins,0),0)</f>
        <v>56600</v>
      </c>
      <c r="V5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55606</v>
      </c>
      <c r="W574" s="1">
        <f>IF(AND(Table1[[#This Row],[AMT Taxes]]&gt;Table1[[#This Row],[Regular Taxes Owed]],Table1[[#This Row],[AMT Taxes]]&gt;0),Table1[[#This Row],[AMT Taxes]]-Table1[[#This Row],[Regular Taxes Owed]],0)</f>
        <v>4906.5</v>
      </c>
      <c r="X574" s="9">
        <f>Table1[[#This Row],[Extra Taxes From Amt]]+Table1[[#This Row],[Federal Taxes Owed (No AMT)]]</f>
        <v>55606</v>
      </c>
      <c r="Y574" s="9">
        <f>IF(Table1[[#This Row],[taxable wages]]&gt;obamacare_surcharge_amount,obamacare_surcharge_percent*(Table1[[#This Row],[taxable wages]]-obamacare_surcharge_amount),0)</f>
        <v>166.5</v>
      </c>
      <c r="Z574" s="9">
        <f>Table1[[#This Row],[Federal Taxes Owed (Includes AMT)]]+Table1[[#This Row],[Obamacare surcharge premium]]</f>
        <v>55772.5</v>
      </c>
      <c r="AA574" s="9">
        <f>Table1[[#This Row],[taxable wages]]-Table1[[#This Row],[Federal Taxes Owed2]]</f>
        <v>212727.5</v>
      </c>
      <c r="AB574" s="51">
        <f t="shared" si="51"/>
        <v>0.35899999999999999</v>
      </c>
      <c r="AC574" s="41"/>
      <c r="AD574" s="13"/>
      <c r="AE574" s="13"/>
    </row>
    <row r="575" spans="2:31" x14ac:dyDescent="0.3">
      <c r="B575" s="41">
        <f t="shared" si="52"/>
        <v>269000</v>
      </c>
      <c r="C575" s="1">
        <f>Table1[[#This Row],[taxable wages]]</f>
        <v>269000</v>
      </c>
      <c r="D575" s="1">
        <f>Table1[[#This Row],[taxable wages]]+interest+dividends+short_term_capital_gains+long_term_capital_gains</f>
        <v>269000</v>
      </c>
      <c r="E575" s="1">
        <f>MAX(Table1[[#This Row],[earned income for EITC]:[Agi For Eitc Calc]])</f>
        <v>269000</v>
      </c>
      <c r="F575" s="1">
        <f>Table1[[#This Row],[taxable wages]]+interest+dividends+short_term_capital_gains+long_term_capital_gains-(trad_ira_contributions+MIN(student_loan_interest_cap,student_loan_interest))</f>
        <v>269000</v>
      </c>
      <c r="G575" s="1">
        <f t="shared" si="48"/>
        <v>12600</v>
      </c>
      <c r="H575" s="1">
        <f t="shared" si="49"/>
        <v>28350</v>
      </c>
      <c r="I575" s="1">
        <f>MAX(0,Table1[[#This Row],[Agi]]-Table1[[#This Row],[Exemptions]]-Table1[[#This Row],[Effective Deductions]])</f>
        <v>228050</v>
      </c>
      <c r="J5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50839.5</v>
      </c>
      <c r="K575" s="1">
        <f t="shared" si="50"/>
        <v>5000</v>
      </c>
      <c r="L575" s="1">
        <f>IF(Table1[[#This Row],[Agi]]&gt;ctc_phase_out_begins,ctc_phase_out_rate*(Table1[[#This Row],[Agi]]-ctc_phase_out_begins),0)</f>
        <v>7950</v>
      </c>
      <c r="M575" s="1">
        <f>MAX(Table1[[#This Row],[Child Tax Credit]]-Table1[[#This Row],[Child Tax Credit Phase Out]],0)</f>
        <v>0</v>
      </c>
      <c r="N575" s="1">
        <f>MAX(Table1[[#This Row],[Regular Taxes Owed]]-Table1[[#This Row],[Effective Child Tax Credit]],0)</f>
        <v>50839.5</v>
      </c>
      <c r="O575" s="1">
        <f>MAX(MIN((Table1[[#This Row],[taxable wages]]-3000)*0.15,1000*num_kids_16_younger),0)</f>
        <v>5000</v>
      </c>
      <c r="P575" s="9">
        <f>IF(Table1[[#This Row],[Effective Child Tax Credit]]&gt;Table1[[#This Row],[Regular Taxes Owed]],Table1[[#This Row],[Additional Child Tax Credit ]]-Table1[[#This Row],[Regular Taxes Owed]],0)</f>
        <v>0</v>
      </c>
      <c r="Q5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5" s="1">
        <f>Table1[[#This Row],[Effective Additional Child Tax Credit]]+Table1[[#This Row],[Eitc]]</f>
        <v>0</v>
      </c>
      <c r="S575" s="9">
        <f>Table1[[#This Row],[Regular Taxes Owed - Effective Child Tax Credit]]-Table1[[#This Row],[Total Credits]]</f>
        <v>50839.5</v>
      </c>
      <c r="T575" s="9">
        <f>Table1[[#This Row],[taxable wages]]+interest+dividends+short_term_capital_gains+long_term_capital_gains-(charitable_donations+mortgage_interest)</f>
        <v>269000</v>
      </c>
      <c r="U575" s="9">
        <f>MAX(amt_exemption-amt_exemption_phase_out_rate*MAX(Table1[[#This Row],[taxable wages]]-amt_phase_out_begins,0),0)</f>
        <v>56475</v>
      </c>
      <c r="V5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55781</v>
      </c>
      <c r="W575" s="1">
        <f>IF(AND(Table1[[#This Row],[AMT Taxes]]&gt;Table1[[#This Row],[Regular Taxes Owed]],Table1[[#This Row],[AMT Taxes]]&gt;0),Table1[[#This Row],[AMT Taxes]]-Table1[[#This Row],[Regular Taxes Owed]],0)</f>
        <v>4941.5</v>
      </c>
      <c r="X575" s="9">
        <f>Table1[[#This Row],[Extra Taxes From Amt]]+Table1[[#This Row],[Federal Taxes Owed (No AMT)]]</f>
        <v>55781</v>
      </c>
      <c r="Y575" s="9">
        <f>IF(Table1[[#This Row],[taxable wages]]&gt;obamacare_surcharge_amount,obamacare_surcharge_percent*(Table1[[#This Row],[taxable wages]]-obamacare_surcharge_amount),0)</f>
        <v>171</v>
      </c>
      <c r="Z575" s="9">
        <f>Table1[[#This Row],[Federal Taxes Owed (Includes AMT)]]+Table1[[#This Row],[Obamacare surcharge premium]]</f>
        <v>55952</v>
      </c>
      <c r="AA575" s="9">
        <f>Table1[[#This Row],[taxable wages]]-Table1[[#This Row],[Federal Taxes Owed2]]</f>
        <v>213048</v>
      </c>
      <c r="AB575" s="51">
        <f t="shared" si="51"/>
        <v>0.35899999999999999</v>
      </c>
      <c r="AC575" s="41"/>
      <c r="AD575" s="13"/>
      <c r="AE575" s="13"/>
    </row>
    <row r="576" spans="2:31" x14ac:dyDescent="0.3">
      <c r="B576" s="41">
        <f t="shared" si="52"/>
        <v>269500</v>
      </c>
      <c r="C576" s="1">
        <f>Table1[[#This Row],[taxable wages]]</f>
        <v>269500</v>
      </c>
      <c r="D576" s="1">
        <f>Table1[[#This Row],[taxable wages]]+interest+dividends+short_term_capital_gains+long_term_capital_gains</f>
        <v>269500</v>
      </c>
      <c r="E576" s="1">
        <f>MAX(Table1[[#This Row],[earned income for EITC]:[Agi For Eitc Calc]])</f>
        <v>269500</v>
      </c>
      <c r="F576" s="1">
        <f>Table1[[#This Row],[taxable wages]]+interest+dividends+short_term_capital_gains+long_term_capital_gains-(trad_ira_contributions+MIN(student_loan_interest_cap,student_loan_interest))</f>
        <v>269500</v>
      </c>
      <c r="G576" s="1">
        <f t="shared" si="48"/>
        <v>12600</v>
      </c>
      <c r="H576" s="1">
        <f t="shared" si="49"/>
        <v>28350</v>
      </c>
      <c r="I576" s="1">
        <f>MAX(0,Table1[[#This Row],[Agi]]-Table1[[#This Row],[Exemptions]]-Table1[[#This Row],[Effective Deductions]])</f>
        <v>228550</v>
      </c>
      <c r="J5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50979.5</v>
      </c>
      <c r="K576" s="1">
        <f t="shared" si="50"/>
        <v>5000</v>
      </c>
      <c r="L576" s="1">
        <f>IF(Table1[[#This Row],[Agi]]&gt;ctc_phase_out_begins,ctc_phase_out_rate*(Table1[[#This Row],[Agi]]-ctc_phase_out_begins),0)</f>
        <v>7975</v>
      </c>
      <c r="M576" s="1">
        <f>MAX(Table1[[#This Row],[Child Tax Credit]]-Table1[[#This Row],[Child Tax Credit Phase Out]],0)</f>
        <v>0</v>
      </c>
      <c r="N576" s="1">
        <f>MAX(Table1[[#This Row],[Regular Taxes Owed]]-Table1[[#This Row],[Effective Child Tax Credit]],0)</f>
        <v>50979.5</v>
      </c>
      <c r="O576" s="1">
        <f>MAX(MIN((Table1[[#This Row],[taxable wages]]-3000)*0.15,1000*num_kids_16_younger),0)</f>
        <v>5000</v>
      </c>
      <c r="P576" s="9">
        <f>IF(Table1[[#This Row],[Effective Child Tax Credit]]&gt;Table1[[#This Row],[Regular Taxes Owed]],Table1[[#This Row],[Additional Child Tax Credit ]]-Table1[[#This Row],[Regular Taxes Owed]],0)</f>
        <v>0</v>
      </c>
      <c r="Q5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6" s="1">
        <f>Table1[[#This Row],[Effective Additional Child Tax Credit]]+Table1[[#This Row],[Eitc]]</f>
        <v>0</v>
      </c>
      <c r="S576" s="9">
        <f>Table1[[#This Row],[Regular Taxes Owed - Effective Child Tax Credit]]-Table1[[#This Row],[Total Credits]]</f>
        <v>50979.5</v>
      </c>
      <c r="T576" s="9">
        <f>Table1[[#This Row],[taxable wages]]+interest+dividends+short_term_capital_gains+long_term_capital_gains-(charitable_donations+mortgage_interest)</f>
        <v>269500</v>
      </c>
      <c r="U576" s="9">
        <f>MAX(amt_exemption-amt_exemption_phase_out_rate*MAX(Table1[[#This Row],[taxable wages]]-amt_phase_out_begins,0),0)</f>
        <v>56350</v>
      </c>
      <c r="V5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55956</v>
      </c>
      <c r="W576" s="1">
        <f>IF(AND(Table1[[#This Row],[AMT Taxes]]&gt;Table1[[#This Row],[Regular Taxes Owed]],Table1[[#This Row],[AMT Taxes]]&gt;0),Table1[[#This Row],[AMT Taxes]]-Table1[[#This Row],[Regular Taxes Owed]],0)</f>
        <v>4976.5</v>
      </c>
      <c r="X576" s="9">
        <f>Table1[[#This Row],[Extra Taxes From Amt]]+Table1[[#This Row],[Federal Taxes Owed (No AMT)]]</f>
        <v>55956</v>
      </c>
      <c r="Y576" s="9">
        <f>IF(Table1[[#This Row],[taxable wages]]&gt;obamacare_surcharge_amount,obamacare_surcharge_percent*(Table1[[#This Row],[taxable wages]]-obamacare_surcharge_amount),0)</f>
        <v>175.5</v>
      </c>
      <c r="Z576" s="9">
        <f>Table1[[#This Row],[Federal Taxes Owed (Includes AMT)]]+Table1[[#This Row],[Obamacare surcharge premium]]</f>
        <v>56131.5</v>
      </c>
      <c r="AA576" s="9">
        <f>Table1[[#This Row],[taxable wages]]-Table1[[#This Row],[Federal Taxes Owed2]]</f>
        <v>213368.5</v>
      </c>
      <c r="AB576" s="51">
        <f t="shared" si="51"/>
        <v>0.35899999999999999</v>
      </c>
      <c r="AC576" s="41"/>
      <c r="AD576" s="13"/>
      <c r="AE576" s="13"/>
    </row>
    <row r="577" spans="2:31" x14ac:dyDescent="0.3">
      <c r="B577" s="41">
        <f t="shared" si="52"/>
        <v>270000</v>
      </c>
      <c r="C577" s="1">
        <f>Table1[[#This Row],[taxable wages]]</f>
        <v>270000</v>
      </c>
      <c r="D577" s="1">
        <f>Table1[[#This Row],[taxable wages]]+interest+dividends+short_term_capital_gains+long_term_capital_gains</f>
        <v>270000</v>
      </c>
      <c r="E577" s="1">
        <f>MAX(Table1[[#This Row],[earned income for EITC]:[Agi For Eitc Calc]])</f>
        <v>270000</v>
      </c>
      <c r="F577" s="1">
        <f>Table1[[#This Row],[taxable wages]]+interest+dividends+short_term_capital_gains+long_term_capital_gains-(trad_ira_contributions+MIN(student_loan_interest_cap,student_loan_interest))</f>
        <v>270000</v>
      </c>
      <c r="G577" s="1">
        <f t="shared" si="48"/>
        <v>12600</v>
      </c>
      <c r="H577" s="1">
        <f t="shared" si="49"/>
        <v>28350</v>
      </c>
      <c r="I577" s="1">
        <f>MAX(0,Table1[[#This Row],[Agi]]-Table1[[#This Row],[Exemptions]]-Table1[[#This Row],[Effective Deductions]])</f>
        <v>229050</v>
      </c>
      <c r="J5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51119.5</v>
      </c>
      <c r="K577" s="1">
        <f t="shared" si="50"/>
        <v>5000</v>
      </c>
      <c r="L577" s="1">
        <f>IF(Table1[[#This Row],[Agi]]&gt;ctc_phase_out_begins,ctc_phase_out_rate*(Table1[[#This Row],[Agi]]-ctc_phase_out_begins),0)</f>
        <v>8000</v>
      </c>
      <c r="M577" s="1">
        <f>MAX(Table1[[#This Row],[Child Tax Credit]]-Table1[[#This Row],[Child Tax Credit Phase Out]],0)</f>
        <v>0</v>
      </c>
      <c r="N577" s="1">
        <f>MAX(Table1[[#This Row],[Regular Taxes Owed]]-Table1[[#This Row],[Effective Child Tax Credit]],0)</f>
        <v>51119.5</v>
      </c>
      <c r="O577" s="1">
        <f>MAX(MIN((Table1[[#This Row],[taxable wages]]-3000)*0.15,1000*num_kids_16_younger),0)</f>
        <v>5000</v>
      </c>
      <c r="P577" s="9">
        <f>IF(Table1[[#This Row],[Effective Child Tax Credit]]&gt;Table1[[#This Row],[Regular Taxes Owed]],Table1[[#This Row],[Additional Child Tax Credit ]]-Table1[[#This Row],[Regular Taxes Owed]],0)</f>
        <v>0</v>
      </c>
      <c r="Q5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7" s="1">
        <f>Table1[[#This Row],[Effective Additional Child Tax Credit]]+Table1[[#This Row],[Eitc]]</f>
        <v>0</v>
      </c>
      <c r="S577" s="9">
        <f>Table1[[#This Row],[Regular Taxes Owed - Effective Child Tax Credit]]-Table1[[#This Row],[Total Credits]]</f>
        <v>51119.5</v>
      </c>
      <c r="T577" s="9">
        <f>Table1[[#This Row],[taxable wages]]+interest+dividends+short_term_capital_gains+long_term_capital_gains-(charitable_donations+mortgage_interest)</f>
        <v>270000</v>
      </c>
      <c r="U577" s="9">
        <f>MAX(amt_exemption-amt_exemption_phase_out_rate*MAX(Table1[[#This Row],[taxable wages]]-amt_phase_out_begins,0),0)</f>
        <v>56225</v>
      </c>
      <c r="V5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56131</v>
      </c>
      <c r="W577" s="1">
        <f>IF(AND(Table1[[#This Row],[AMT Taxes]]&gt;Table1[[#This Row],[Regular Taxes Owed]],Table1[[#This Row],[AMT Taxes]]&gt;0),Table1[[#This Row],[AMT Taxes]]-Table1[[#This Row],[Regular Taxes Owed]],0)</f>
        <v>5011.5</v>
      </c>
      <c r="X577" s="9">
        <f>Table1[[#This Row],[Extra Taxes From Amt]]+Table1[[#This Row],[Federal Taxes Owed (No AMT)]]</f>
        <v>56131</v>
      </c>
      <c r="Y577" s="9">
        <f>IF(Table1[[#This Row],[taxable wages]]&gt;obamacare_surcharge_amount,obamacare_surcharge_percent*(Table1[[#This Row],[taxable wages]]-obamacare_surcharge_amount),0)</f>
        <v>180</v>
      </c>
      <c r="Z577" s="9">
        <f>Table1[[#This Row],[Federal Taxes Owed (Includes AMT)]]+Table1[[#This Row],[Obamacare surcharge premium]]</f>
        <v>56311</v>
      </c>
      <c r="AA577" s="9">
        <f>Table1[[#This Row],[taxable wages]]-Table1[[#This Row],[Federal Taxes Owed2]]</f>
        <v>213689</v>
      </c>
      <c r="AB577" s="51">
        <f t="shared" si="51"/>
        <v>0.35899999999999999</v>
      </c>
      <c r="AC577" s="41"/>
      <c r="AD577" s="13"/>
      <c r="AE577" s="13"/>
    </row>
    <row r="578" spans="2:31" x14ac:dyDescent="0.3">
      <c r="B578" s="41">
        <f t="shared" si="52"/>
        <v>270500</v>
      </c>
      <c r="C578" s="1">
        <f>Table1[[#This Row],[taxable wages]]</f>
        <v>270500</v>
      </c>
      <c r="D578" s="1">
        <f>Table1[[#This Row],[taxable wages]]+interest+dividends+short_term_capital_gains+long_term_capital_gains</f>
        <v>270500</v>
      </c>
      <c r="E578" s="1">
        <f>MAX(Table1[[#This Row],[earned income for EITC]:[Agi For Eitc Calc]])</f>
        <v>270500</v>
      </c>
      <c r="F578" s="1">
        <f>Table1[[#This Row],[taxable wages]]+interest+dividends+short_term_capital_gains+long_term_capital_gains-(trad_ira_contributions+MIN(student_loan_interest_cap,student_loan_interest))</f>
        <v>270500</v>
      </c>
      <c r="G578" s="1">
        <f t="shared" si="48"/>
        <v>12600</v>
      </c>
      <c r="H578" s="1">
        <f t="shared" si="49"/>
        <v>28350</v>
      </c>
      <c r="I578" s="1">
        <f>MAX(0,Table1[[#This Row],[Agi]]-Table1[[#This Row],[Exemptions]]-Table1[[#This Row],[Effective Deductions]])</f>
        <v>229550</v>
      </c>
      <c r="J5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51259.5</v>
      </c>
      <c r="K578" s="1">
        <f t="shared" si="50"/>
        <v>5000</v>
      </c>
      <c r="L578" s="1">
        <f>IF(Table1[[#This Row],[Agi]]&gt;ctc_phase_out_begins,ctc_phase_out_rate*(Table1[[#This Row],[Agi]]-ctc_phase_out_begins),0)</f>
        <v>8025</v>
      </c>
      <c r="M578" s="1">
        <f>MAX(Table1[[#This Row],[Child Tax Credit]]-Table1[[#This Row],[Child Tax Credit Phase Out]],0)</f>
        <v>0</v>
      </c>
      <c r="N578" s="1">
        <f>MAX(Table1[[#This Row],[Regular Taxes Owed]]-Table1[[#This Row],[Effective Child Tax Credit]],0)</f>
        <v>51259.5</v>
      </c>
      <c r="O578" s="1">
        <f>MAX(MIN((Table1[[#This Row],[taxable wages]]-3000)*0.15,1000*num_kids_16_younger),0)</f>
        <v>5000</v>
      </c>
      <c r="P578" s="9">
        <f>IF(Table1[[#This Row],[Effective Child Tax Credit]]&gt;Table1[[#This Row],[Regular Taxes Owed]],Table1[[#This Row],[Additional Child Tax Credit ]]-Table1[[#This Row],[Regular Taxes Owed]],0)</f>
        <v>0</v>
      </c>
      <c r="Q5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8" s="1">
        <f>Table1[[#This Row],[Effective Additional Child Tax Credit]]+Table1[[#This Row],[Eitc]]</f>
        <v>0</v>
      </c>
      <c r="S578" s="9">
        <f>Table1[[#This Row],[Regular Taxes Owed - Effective Child Tax Credit]]-Table1[[#This Row],[Total Credits]]</f>
        <v>51259.5</v>
      </c>
      <c r="T578" s="9">
        <f>Table1[[#This Row],[taxable wages]]+interest+dividends+short_term_capital_gains+long_term_capital_gains-(charitable_donations+mortgage_interest)</f>
        <v>270500</v>
      </c>
      <c r="U578" s="9">
        <f>MAX(amt_exemption-amt_exemption_phase_out_rate*MAX(Table1[[#This Row],[taxable wages]]-amt_phase_out_begins,0),0)</f>
        <v>56100</v>
      </c>
      <c r="V5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56306</v>
      </c>
      <c r="W578" s="1">
        <f>IF(AND(Table1[[#This Row],[AMT Taxes]]&gt;Table1[[#This Row],[Regular Taxes Owed]],Table1[[#This Row],[AMT Taxes]]&gt;0),Table1[[#This Row],[AMT Taxes]]-Table1[[#This Row],[Regular Taxes Owed]],0)</f>
        <v>5046.5</v>
      </c>
      <c r="X578" s="9">
        <f>Table1[[#This Row],[Extra Taxes From Amt]]+Table1[[#This Row],[Federal Taxes Owed (No AMT)]]</f>
        <v>56306</v>
      </c>
      <c r="Y578" s="9">
        <f>IF(Table1[[#This Row],[taxable wages]]&gt;obamacare_surcharge_amount,obamacare_surcharge_percent*(Table1[[#This Row],[taxable wages]]-obamacare_surcharge_amount),0)</f>
        <v>184.5</v>
      </c>
      <c r="Z578" s="9">
        <f>Table1[[#This Row],[Federal Taxes Owed (Includes AMT)]]+Table1[[#This Row],[Obamacare surcharge premium]]</f>
        <v>56490.5</v>
      </c>
      <c r="AA578" s="9">
        <f>Table1[[#This Row],[taxable wages]]-Table1[[#This Row],[Federal Taxes Owed2]]</f>
        <v>214009.5</v>
      </c>
      <c r="AB578" s="51">
        <f t="shared" si="51"/>
        <v>0.35899999999999999</v>
      </c>
      <c r="AC578" s="41"/>
      <c r="AD578" s="13"/>
      <c r="AE578" s="13"/>
    </row>
    <row r="579" spans="2:31" x14ac:dyDescent="0.3">
      <c r="B579" s="41">
        <f t="shared" si="52"/>
        <v>271000</v>
      </c>
      <c r="C579" s="1">
        <f>Table1[[#This Row],[taxable wages]]</f>
        <v>271000</v>
      </c>
      <c r="D579" s="1">
        <f>Table1[[#This Row],[taxable wages]]+interest+dividends+short_term_capital_gains+long_term_capital_gains</f>
        <v>271000</v>
      </c>
      <c r="E579" s="1">
        <f>MAX(Table1[[#This Row],[earned income for EITC]:[Agi For Eitc Calc]])</f>
        <v>271000</v>
      </c>
      <c r="F579" s="1">
        <f>Table1[[#This Row],[taxable wages]]+interest+dividends+short_term_capital_gains+long_term_capital_gains-(trad_ira_contributions+MIN(student_loan_interest_cap,student_loan_interest))</f>
        <v>271000</v>
      </c>
      <c r="G579" s="1">
        <f t="shared" si="48"/>
        <v>12600</v>
      </c>
      <c r="H579" s="1">
        <f t="shared" si="49"/>
        <v>28350</v>
      </c>
      <c r="I579" s="1">
        <f>MAX(0,Table1[[#This Row],[Agi]]-Table1[[#This Row],[Exemptions]]-Table1[[#This Row],[Effective Deductions]])</f>
        <v>230050</v>
      </c>
      <c r="J5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51399.5</v>
      </c>
      <c r="K579" s="1">
        <f t="shared" si="50"/>
        <v>5000</v>
      </c>
      <c r="L579" s="1">
        <f>IF(Table1[[#This Row],[Agi]]&gt;ctc_phase_out_begins,ctc_phase_out_rate*(Table1[[#This Row],[Agi]]-ctc_phase_out_begins),0)</f>
        <v>8050</v>
      </c>
      <c r="M579" s="1">
        <f>MAX(Table1[[#This Row],[Child Tax Credit]]-Table1[[#This Row],[Child Tax Credit Phase Out]],0)</f>
        <v>0</v>
      </c>
      <c r="N579" s="1">
        <f>MAX(Table1[[#This Row],[Regular Taxes Owed]]-Table1[[#This Row],[Effective Child Tax Credit]],0)</f>
        <v>51399.5</v>
      </c>
      <c r="O579" s="1">
        <f>MAX(MIN((Table1[[#This Row],[taxable wages]]-3000)*0.15,1000*num_kids_16_younger),0)</f>
        <v>5000</v>
      </c>
      <c r="P579" s="9">
        <f>IF(Table1[[#This Row],[Effective Child Tax Credit]]&gt;Table1[[#This Row],[Regular Taxes Owed]],Table1[[#This Row],[Additional Child Tax Credit ]]-Table1[[#This Row],[Regular Taxes Owed]],0)</f>
        <v>0</v>
      </c>
      <c r="Q5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79" s="1">
        <f>Table1[[#This Row],[Effective Additional Child Tax Credit]]+Table1[[#This Row],[Eitc]]</f>
        <v>0</v>
      </c>
      <c r="S579" s="9">
        <f>Table1[[#This Row],[Regular Taxes Owed - Effective Child Tax Credit]]-Table1[[#This Row],[Total Credits]]</f>
        <v>51399.5</v>
      </c>
      <c r="T579" s="9">
        <f>Table1[[#This Row],[taxable wages]]+interest+dividends+short_term_capital_gains+long_term_capital_gains-(charitable_donations+mortgage_interest)</f>
        <v>271000</v>
      </c>
      <c r="U579" s="9">
        <f>MAX(amt_exemption-amt_exemption_phase_out_rate*MAX(Table1[[#This Row],[taxable wages]]-amt_phase_out_begins,0),0)</f>
        <v>55975</v>
      </c>
      <c r="V5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56481</v>
      </c>
      <c r="W579" s="1">
        <f>IF(AND(Table1[[#This Row],[AMT Taxes]]&gt;Table1[[#This Row],[Regular Taxes Owed]],Table1[[#This Row],[AMT Taxes]]&gt;0),Table1[[#This Row],[AMT Taxes]]-Table1[[#This Row],[Regular Taxes Owed]],0)</f>
        <v>5081.5</v>
      </c>
      <c r="X579" s="9">
        <f>Table1[[#This Row],[Extra Taxes From Amt]]+Table1[[#This Row],[Federal Taxes Owed (No AMT)]]</f>
        <v>56481</v>
      </c>
      <c r="Y579" s="9">
        <f>IF(Table1[[#This Row],[taxable wages]]&gt;obamacare_surcharge_amount,obamacare_surcharge_percent*(Table1[[#This Row],[taxable wages]]-obamacare_surcharge_amount),0)</f>
        <v>188.99999999999997</v>
      </c>
      <c r="Z579" s="9">
        <f>Table1[[#This Row],[Federal Taxes Owed (Includes AMT)]]+Table1[[#This Row],[Obamacare surcharge premium]]</f>
        <v>56670</v>
      </c>
      <c r="AA579" s="9">
        <f>Table1[[#This Row],[taxable wages]]-Table1[[#This Row],[Federal Taxes Owed2]]</f>
        <v>214330</v>
      </c>
      <c r="AB579" s="51">
        <f t="shared" si="51"/>
        <v>0.35899999999999999</v>
      </c>
      <c r="AC579" s="41"/>
      <c r="AD579" s="13"/>
      <c r="AE579" s="13"/>
    </row>
    <row r="580" spans="2:31" x14ac:dyDescent="0.3">
      <c r="B580" s="41">
        <f t="shared" si="52"/>
        <v>271500</v>
      </c>
      <c r="C580" s="1">
        <f>Table1[[#This Row],[taxable wages]]</f>
        <v>271500</v>
      </c>
      <c r="D580" s="1">
        <f>Table1[[#This Row],[taxable wages]]+interest+dividends+short_term_capital_gains+long_term_capital_gains</f>
        <v>271500</v>
      </c>
      <c r="E580" s="1">
        <f>MAX(Table1[[#This Row],[earned income for EITC]:[Agi For Eitc Calc]])</f>
        <v>271500</v>
      </c>
      <c r="F580" s="1">
        <f>Table1[[#This Row],[taxable wages]]+interest+dividends+short_term_capital_gains+long_term_capital_gains-(trad_ira_contributions+MIN(student_loan_interest_cap,student_loan_interest))</f>
        <v>271500</v>
      </c>
      <c r="G580" s="1">
        <f t="shared" si="48"/>
        <v>12600</v>
      </c>
      <c r="H580" s="1">
        <f t="shared" si="49"/>
        <v>28350</v>
      </c>
      <c r="I580" s="1">
        <f>MAX(0,Table1[[#This Row],[Agi]]-Table1[[#This Row],[Exemptions]]-Table1[[#This Row],[Effective Deductions]])</f>
        <v>230550</v>
      </c>
      <c r="J5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51539.5</v>
      </c>
      <c r="K580" s="1">
        <f t="shared" si="50"/>
        <v>5000</v>
      </c>
      <c r="L580" s="1">
        <f>IF(Table1[[#This Row],[Agi]]&gt;ctc_phase_out_begins,ctc_phase_out_rate*(Table1[[#This Row],[Agi]]-ctc_phase_out_begins),0)</f>
        <v>8075</v>
      </c>
      <c r="M580" s="1">
        <f>MAX(Table1[[#This Row],[Child Tax Credit]]-Table1[[#This Row],[Child Tax Credit Phase Out]],0)</f>
        <v>0</v>
      </c>
      <c r="N580" s="1">
        <f>MAX(Table1[[#This Row],[Regular Taxes Owed]]-Table1[[#This Row],[Effective Child Tax Credit]],0)</f>
        <v>51539.5</v>
      </c>
      <c r="O580" s="1">
        <f>MAX(MIN((Table1[[#This Row],[taxable wages]]-3000)*0.15,1000*num_kids_16_younger),0)</f>
        <v>5000</v>
      </c>
      <c r="P580" s="9">
        <f>IF(Table1[[#This Row],[Effective Child Tax Credit]]&gt;Table1[[#This Row],[Regular Taxes Owed]],Table1[[#This Row],[Additional Child Tax Credit ]]-Table1[[#This Row],[Regular Taxes Owed]],0)</f>
        <v>0</v>
      </c>
      <c r="Q5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0" s="1">
        <f>Table1[[#This Row],[Effective Additional Child Tax Credit]]+Table1[[#This Row],[Eitc]]</f>
        <v>0</v>
      </c>
      <c r="S580" s="9">
        <f>Table1[[#This Row],[Regular Taxes Owed - Effective Child Tax Credit]]-Table1[[#This Row],[Total Credits]]</f>
        <v>51539.5</v>
      </c>
      <c r="T580" s="9">
        <f>Table1[[#This Row],[taxable wages]]+interest+dividends+short_term_capital_gains+long_term_capital_gains-(charitable_donations+mortgage_interest)</f>
        <v>271500</v>
      </c>
      <c r="U580" s="9">
        <f>MAX(amt_exemption-amt_exemption_phase_out_rate*MAX(Table1[[#This Row],[taxable wages]]-amt_phase_out_begins,0),0)</f>
        <v>55850</v>
      </c>
      <c r="V5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56656</v>
      </c>
      <c r="W580" s="1">
        <f>IF(AND(Table1[[#This Row],[AMT Taxes]]&gt;Table1[[#This Row],[Regular Taxes Owed]],Table1[[#This Row],[AMT Taxes]]&gt;0),Table1[[#This Row],[AMT Taxes]]-Table1[[#This Row],[Regular Taxes Owed]],0)</f>
        <v>5116.5</v>
      </c>
      <c r="X580" s="9">
        <f>Table1[[#This Row],[Extra Taxes From Amt]]+Table1[[#This Row],[Federal Taxes Owed (No AMT)]]</f>
        <v>56656</v>
      </c>
      <c r="Y580" s="9">
        <f>IF(Table1[[#This Row],[taxable wages]]&gt;obamacare_surcharge_amount,obamacare_surcharge_percent*(Table1[[#This Row],[taxable wages]]-obamacare_surcharge_amount),0)</f>
        <v>193.49999999999997</v>
      </c>
      <c r="Z580" s="9">
        <f>Table1[[#This Row],[Federal Taxes Owed (Includes AMT)]]+Table1[[#This Row],[Obamacare surcharge premium]]</f>
        <v>56849.5</v>
      </c>
      <c r="AA580" s="9">
        <f>Table1[[#This Row],[taxable wages]]-Table1[[#This Row],[Federal Taxes Owed2]]</f>
        <v>214650.5</v>
      </c>
      <c r="AB580" s="51">
        <f t="shared" si="51"/>
        <v>0.35899999999999999</v>
      </c>
      <c r="AC580" s="41"/>
      <c r="AD580" s="13"/>
      <c r="AE580" s="13"/>
    </row>
    <row r="581" spans="2:31" x14ac:dyDescent="0.3">
      <c r="B581" s="41">
        <f t="shared" si="52"/>
        <v>272000</v>
      </c>
      <c r="C581" s="1">
        <f>Table1[[#This Row],[taxable wages]]</f>
        <v>272000</v>
      </c>
      <c r="D581" s="1">
        <f>Table1[[#This Row],[taxable wages]]+interest+dividends+short_term_capital_gains+long_term_capital_gains</f>
        <v>272000</v>
      </c>
      <c r="E581" s="1">
        <f>MAX(Table1[[#This Row],[earned income for EITC]:[Agi For Eitc Calc]])</f>
        <v>272000</v>
      </c>
      <c r="F581" s="1">
        <f>Table1[[#This Row],[taxable wages]]+interest+dividends+short_term_capital_gains+long_term_capital_gains-(trad_ira_contributions+MIN(student_loan_interest_cap,student_loan_interest))</f>
        <v>272000</v>
      </c>
      <c r="G581" s="1">
        <f t="shared" si="48"/>
        <v>12600</v>
      </c>
      <c r="H581" s="1">
        <f t="shared" si="49"/>
        <v>28350</v>
      </c>
      <c r="I581" s="1">
        <f>MAX(0,Table1[[#This Row],[Agi]]-Table1[[#This Row],[Exemptions]]-Table1[[#This Row],[Effective Deductions]])</f>
        <v>231050</v>
      </c>
      <c r="J5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51679.5</v>
      </c>
      <c r="K581" s="1">
        <f t="shared" si="50"/>
        <v>5000</v>
      </c>
      <c r="L581" s="1">
        <f>IF(Table1[[#This Row],[Agi]]&gt;ctc_phase_out_begins,ctc_phase_out_rate*(Table1[[#This Row],[Agi]]-ctc_phase_out_begins),0)</f>
        <v>8100</v>
      </c>
      <c r="M581" s="1">
        <f>MAX(Table1[[#This Row],[Child Tax Credit]]-Table1[[#This Row],[Child Tax Credit Phase Out]],0)</f>
        <v>0</v>
      </c>
      <c r="N581" s="1">
        <f>MAX(Table1[[#This Row],[Regular Taxes Owed]]-Table1[[#This Row],[Effective Child Tax Credit]],0)</f>
        <v>51679.5</v>
      </c>
      <c r="O581" s="1">
        <f>MAX(MIN((Table1[[#This Row],[taxable wages]]-3000)*0.15,1000*num_kids_16_younger),0)</f>
        <v>5000</v>
      </c>
      <c r="P581" s="9">
        <f>IF(Table1[[#This Row],[Effective Child Tax Credit]]&gt;Table1[[#This Row],[Regular Taxes Owed]],Table1[[#This Row],[Additional Child Tax Credit ]]-Table1[[#This Row],[Regular Taxes Owed]],0)</f>
        <v>0</v>
      </c>
      <c r="Q5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1" s="1">
        <f>Table1[[#This Row],[Effective Additional Child Tax Credit]]+Table1[[#This Row],[Eitc]]</f>
        <v>0</v>
      </c>
      <c r="S581" s="9">
        <f>Table1[[#This Row],[Regular Taxes Owed - Effective Child Tax Credit]]-Table1[[#This Row],[Total Credits]]</f>
        <v>51679.5</v>
      </c>
      <c r="T581" s="9">
        <f>Table1[[#This Row],[taxable wages]]+interest+dividends+short_term_capital_gains+long_term_capital_gains-(charitable_donations+mortgage_interest)</f>
        <v>272000</v>
      </c>
      <c r="U581" s="9">
        <f>MAX(amt_exemption-amt_exemption_phase_out_rate*MAX(Table1[[#This Row],[taxable wages]]-amt_phase_out_begins,0),0)</f>
        <v>55725</v>
      </c>
      <c r="V5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56831</v>
      </c>
      <c r="W581" s="1">
        <f>IF(AND(Table1[[#This Row],[AMT Taxes]]&gt;Table1[[#This Row],[Regular Taxes Owed]],Table1[[#This Row],[AMT Taxes]]&gt;0),Table1[[#This Row],[AMT Taxes]]-Table1[[#This Row],[Regular Taxes Owed]],0)</f>
        <v>5151.5</v>
      </c>
      <c r="X581" s="9">
        <f>Table1[[#This Row],[Extra Taxes From Amt]]+Table1[[#This Row],[Federal Taxes Owed (No AMT)]]</f>
        <v>56831</v>
      </c>
      <c r="Y581" s="9">
        <f>IF(Table1[[#This Row],[taxable wages]]&gt;obamacare_surcharge_amount,obamacare_surcharge_percent*(Table1[[#This Row],[taxable wages]]-obamacare_surcharge_amount),0)</f>
        <v>197.99999999999997</v>
      </c>
      <c r="Z581" s="9">
        <f>Table1[[#This Row],[Federal Taxes Owed (Includes AMT)]]+Table1[[#This Row],[Obamacare surcharge premium]]</f>
        <v>57029</v>
      </c>
      <c r="AA581" s="9">
        <f>Table1[[#This Row],[taxable wages]]-Table1[[#This Row],[Federal Taxes Owed2]]</f>
        <v>214971</v>
      </c>
      <c r="AB581" s="51">
        <f t="shared" si="51"/>
        <v>0.35899999999999999</v>
      </c>
      <c r="AC581" s="41"/>
      <c r="AD581" s="13"/>
      <c r="AE581" s="13"/>
    </row>
    <row r="582" spans="2:31" x14ac:dyDescent="0.3">
      <c r="B582" s="41">
        <f t="shared" si="52"/>
        <v>272500</v>
      </c>
      <c r="C582" s="1">
        <f>Table1[[#This Row],[taxable wages]]</f>
        <v>272500</v>
      </c>
      <c r="D582" s="1">
        <f>Table1[[#This Row],[taxable wages]]+interest+dividends+short_term_capital_gains+long_term_capital_gains</f>
        <v>272500</v>
      </c>
      <c r="E582" s="1">
        <f>MAX(Table1[[#This Row],[earned income for EITC]:[Agi For Eitc Calc]])</f>
        <v>272500</v>
      </c>
      <c r="F582" s="1">
        <f>Table1[[#This Row],[taxable wages]]+interest+dividends+short_term_capital_gains+long_term_capital_gains-(trad_ira_contributions+MIN(student_loan_interest_cap,student_loan_interest))</f>
        <v>272500</v>
      </c>
      <c r="G582" s="1">
        <f t="shared" si="48"/>
        <v>12600</v>
      </c>
      <c r="H582" s="1">
        <f t="shared" si="49"/>
        <v>28350</v>
      </c>
      <c r="I582" s="1">
        <f>MAX(0,Table1[[#This Row],[Agi]]-Table1[[#This Row],[Exemptions]]-Table1[[#This Row],[Effective Deductions]])</f>
        <v>231550</v>
      </c>
      <c r="J5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51824.5</v>
      </c>
      <c r="K582" s="1">
        <f t="shared" si="50"/>
        <v>5000</v>
      </c>
      <c r="L582" s="1">
        <f>IF(Table1[[#This Row],[Agi]]&gt;ctc_phase_out_begins,ctc_phase_out_rate*(Table1[[#This Row],[Agi]]-ctc_phase_out_begins),0)</f>
        <v>8125</v>
      </c>
      <c r="M582" s="1">
        <f>MAX(Table1[[#This Row],[Child Tax Credit]]-Table1[[#This Row],[Child Tax Credit Phase Out]],0)</f>
        <v>0</v>
      </c>
      <c r="N582" s="1">
        <f>MAX(Table1[[#This Row],[Regular Taxes Owed]]-Table1[[#This Row],[Effective Child Tax Credit]],0)</f>
        <v>51824.5</v>
      </c>
      <c r="O582" s="1">
        <f>MAX(MIN((Table1[[#This Row],[taxable wages]]-3000)*0.15,1000*num_kids_16_younger),0)</f>
        <v>5000</v>
      </c>
      <c r="P582" s="9">
        <f>IF(Table1[[#This Row],[Effective Child Tax Credit]]&gt;Table1[[#This Row],[Regular Taxes Owed]],Table1[[#This Row],[Additional Child Tax Credit ]]-Table1[[#This Row],[Regular Taxes Owed]],0)</f>
        <v>0</v>
      </c>
      <c r="Q5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2" s="1">
        <f>Table1[[#This Row],[Effective Additional Child Tax Credit]]+Table1[[#This Row],[Eitc]]</f>
        <v>0</v>
      </c>
      <c r="S582" s="9">
        <f>Table1[[#This Row],[Regular Taxes Owed - Effective Child Tax Credit]]-Table1[[#This Row],[Total Credits]]</f>
        <v>51824.5</v>
      </c>
      <c r="T582" s="9">
        <f>Table1[[#This Row],[taxable wages]]+interest+dividends+short_term_capital_gains+long_term_capital_gains-(charitable_donations+mortgage_interest)</f>
        <v>272500</v>
      </c>
      <c r="U582" s="9">
        <f>MAX(amt_exemption-amt_exemption_phase_out_rate*MAX(Table1[[#This Row],[taxable wages]]-amt_phase_out_begins,0),0)</f>
        <v>55600</v>
      </c>
      <c r="V5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57006</v>
      </c>
      <c r="W582" s="1">
        <f>IF(AND(Table1[[#This Row],[AMT Taxes]]&gt;Table1[[#This Row],[Regular Taxes Owed]],Table1[[#This Row],[AMT Taxes]]&gt;0),Table1[[#This Row],[AMT Taxes]]-Table1[[#This Row],[Regular Taxes Owed]],0)</f>
        <v>5181.5</v>
      </c>
      <c r="X582" s="9">
        <f>Table1[[#This Row],[Extra Taxes From Amt]]+Table1[[#This Row],[Federal Taxes Owed (No AMT)]]</f>
        <v>57006</v>
      </c>
      <c r="Y582" s="9">
        <f>IF(Table1[[#This Row],[taxable wages]]&gt;obamacare_surcharge_amount,obamacare_surcharge_percent*(Table1[[#This Row],[taxable wages]]-obamacare_surcharge_amount),0)</f>
        <v>202.49999999999997</v>
      </c>
      <c r="Z582" s="9">
        <f>Table1[[#This Row],[Federal Taxes Owed (Includes AMT)]]+Table1[[#This Row],[Obamacare surcharge premium]]</f>
        <v>57208.5</v>
      </c>
      <c r="AA582" s="9">
        <f>Table1[[#This Row],[taxable wages]]-Table1[[#This Row],[Federal Taxes Owed2]]</f>
        <v>215291.5</v>
      </c>
      <c r="AB582" s="51">
        <f t="shared" si="51"/>
        <v>0.35899999999999999</v>
      </c>
      <c r="AC582" s="41"/>
      <c r="AD582" s="13"/>
      <c r="AE582" s="13"/>
    </row>
    <row r="583" spans="2:31" x14ac:dyDescent="0.3">
      <c r="B583" s="41">
        <f t="shared" si="52"/>
        <v>273000</v>
      </c>
      <c r="C583" s="1">
        <f>Table1[[#This Row],[taxable wages]]</f>
        <v>273000</v>
      </c>
      <c r="D583" s="1">
        <f>Table1[[#This Row],[taxable wages]]+interest+dividends+short_term_capital_gains+long_term_capital_gains</f>
        <v>273000</v>
      </c>
      <c r="E583" s="1">
        <f>MAX(Table1[[#This Row],[earned income for EITC]:[Agi For Eitc Calc]])</f>
        <v>273000</v>
      </c>
      <c r="F583" s="1">
        <f>Table1[[#This Row],[taxable wages]]+interest+dividends+short_term_capital_gains+long_term_capital_gains-(trad_ira_contributions+MIN(student_loan_interest_cap,student_loan_interest))</f>
        <v>273000</v>
      </c>
      <c r="G583" s="1">
        <f t="shared" si="48"/>
        <v>12600</v>
      </c>
      <c r="H583" s="1">
        <f t="shared" si="49"/>
        <v>28350</v>
      </c>
      <c r="I583" s="1">
        <f>MAX(0,Table1[[#This Row],[Agi]]-Table1[[#This Row],[Exemptions]]-Table1[[#This Row],[Effective Deductions]])</f>
        <v>232050</v>
      </c>
      <c r="J5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51989.5</v>
      </c>
      <c r="K583" s="1">
        <f t="shared" si="50"/>
        <v>5000</v>
      </c>
      <c r="L583" s="1">
        <f>IF(Table1[[#This Row],[Agi]]&gt;ctc_phase_out_begins,ctc_phase_out_rate*(Table1[[#This Row],[Agi]]-ctc_phase_out_begins),0)</f>
        <v>8150</v>
      </c>
      <c r="M583" s="1">
        <f>MAX(Table1[[#This Row],[Child Tax Credit]]-Table1[[#This Row],[Child Tax Credit Phase Out]],0)</f>
        <v>0</v>
      </c>
      <c r="N583" s="1">
        <f>MAX(Table1[[#This Row],[Regular Taxes Owed]]-Table1[[#This Row],[Effective Child Tax Credit]],0)</f>
        <v>51989.5</v>
      </c>
      <c r="O583" s="1">
        <f>MAX(MIN((Table1[[#This Row],[taxable wages]]-3000)*0.15,1000*num_kids_16_younger),0)</f>
        <v>5000</v>
      </c>
      <c r="P583" s="9">
        <f>IF(Table1[[#This Row],[Effective Child Tax Credit]]&gt;Table1[[#This Row],[Regular Taxes Owed]],Table1[[#This Row],[Additional Child Tax Credit ]]-Table1[[#This Row],[Regular Taxes Owed]],0)</f>
        <v>0</v>
      </c>
      <c r="Q5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3" s="1">
        <f>Table1[[#This Row],[Effective Additional Child Tax Credit]]+Table1[[#This Row],[Eitc]]</f>
        <v>0</v>
      </c>
      <c r="S583" s="9">
        <f>Table1[[#This Row],[Regular Taxes Owed - Effective Child Tax Credit]]-Table1[[#This Row],[Total Credits]]</f>
        <v>51989.5</v>
      </c>
      <c r="T583" s="9">
        <f>Table1[[#This Row],[taxable wages]]+interest+dividends+short_term_capital_gains+long_term_capital_gains-(charitable_donations+mortgage_interest)</f>
        <v>273000</v>
      </c>
      <c r="U583" s="9">
        <f>MAX(amt_exemption-amt_exemption_phase_out_rate*MAX(Table1[[#This Row],[taxable wages]]-amt_phase_out_begins,0),0)</f>
        <v>55475</v>
      </c>
      <c r="V5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57181</v>
      </c>
      <c r="W583" s="1">
        <f>IF(AND(Table1[[#This Row],[AMT Taxes]]&gt;Table1[[#This Row],[Regular Taxes Owed]],Table1[[#This Row],[AMT Taxes]]&gt;0),Table1[[#This Row],[AMT Taxes]]-Table1[[#This Row],[Regular Taxes Owed]],0)</f>
        <v>5191.5</v>
      </c>
      <c r="X583" s="9">
        <f>Table1[[#This Row],[Extra Taxes From Amt]]+Table1[[#This Row],[Federal Taxes Owed (No AMT)]]</f>
        <v>57181</v>
      </c>
      <c r="Y583" s="9">
        <f>IF(Table1[[#This Row],[taxable wages]]&gt;obamacare_surcharge_amount,obamacare_surcharge_percent*(Table1[[#This Row],[taxable wages]]-obamacare_surcharge_amount),0)</f>
        <v>206.99999999999997</v>
      </c>
      <c r="Z583" s="9">
        <f>Table1[[#This Row],[Federal Taxes Owed (Includes AMT)]]+Table1[[#This Row],[Obamacare surcharge premium]]</f>
        <v>57388</v>
      </c>
      <c r="AA583" s="9">
        <f>Table1[[#This Row],[taxable wages]]-Table1[[#This Row],[Federal Taxes Owed2]]</f>
        <v>215612</v>
      </c>
      <c r="AB583" s="51">
        <f t="shared" si="51"/>
        <v>0.35899999999999999</v>
      </c>
      <c r="AC583" s="41"/>
      <c r="AD583" s="13"/>
      <c r="AE583" s="13"/>
    </row>
    <row r="584" spans="2:31" x14ac:dyDescent="0.3">
      <c r="B584" s="41">
        <f t="shared" si="52"/>
        <v>273500</v>
      </c>
      <c r="C584" s="1">
        <f>Table1[[#This Row],[taxable wages]]</f>
        <v>273500</v>
      </c>
      <c r="D584" s="1">
        <f>Table1[[#This Row],[taxable wages]]+interest+dividends+short_term_capital_gains+long_term_capital_gains</f>
        <v>273500</v>
      </c>
      <c r="E584" s="1">
        <f>MAX(Table1[[#This Row],[earned income for EITC]:[Agi For Eitc Calc]])</f>
        <v>273500</v>
      </c>
      <c r="F584" s="1">
        <f>Table1[[#This Row],[taxable wages]]+interest+dividends+short_term_capital_gains+long_term_capital_gains-(trad_ira_contributions+MIN(student_loan_interest_cap,student_loan_interest))</f>
        <v>273500</v>
      </c>
      <c r="G584" s="1">
        <f t="shared" si="48"/>
        <v>12600</v>
      </c>
      <c r="H584" s="1">
        <f t="shared" si="49"/>
        <v>28350</v>
      </c>
      <c r="I584" s="1">
        <f>MAX(0,Table1[[#This Row],[Agi]]-Table1[[#This Row],[Exemptions]]-Table1[[#This Row],[Effective Deductions]])</f>
        <v>232550</v>
      </c>
      <c r="J5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52154.5</v>
      </c>
      <c r="K584" s="1">
        <f t="shared" si="50"/>
        <v>5000</v>
      </c>
      <c r="L584" s="1">
        <f>IF(Table1[[#This Row],[Agi]]&gt;ctc_phase_out_begins,ctc_phase_out_rate*(Table1[[#This Row],[Agi]]-ctc_phase_out_begins),0)</f>
        <v>8175</v>
      </c>
      <c r="M584" s="1">
        <f>MAX(Table1[[#This Row],[Child Tax Credit]]-Table1[[#This Row],[Child Tax Credit Phase Out]],0)</f>
        <v>0</v>
      </c>
      <c r="N584" s="1">
        <f>MAX(Table1[[#This Row],[Regular Taxes Owed]]-Table1[[#This Row],[Effective Child Tax Credit]],0)</f>
        <v>52154.5</v>
      </c>
      <c r="O584" s="1">
        <f>MAX(MIN((Table1[[#This Row],[taxable wages]]-3000)*0.15,1000*num_kids_16_younger),0)</f>
        <v>5000</v>
      </c>
      <c r="P584" s="9">
        <f>IF(Table1[[#This Row],[Effective Child Tax Credit]]&gt;Table1[[#This Row],[Regular Taxes Owed]],Table1[[#This Row],[Additional Child Tax Credit ]]-Table1[[#This Row],[Regular Taxes Owed]],0)</f>
        <v>0</v>
      </c>
      <c r="Q5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4" s="1">
        <f>Table1[[#This Row],[Effective Additional Child Tax Credit]]+Table1[[#This Row],[Eitc]]</f>
        <v>0</v>
      </c>
      <c r="S584" s="9">
        <f>Table1[[#This Row],[Regular Taxes Owed - Effective Child Tax Credit]]-Table1[[#This Row],[Total Credits]]</f>
        <v>52154.5</v>
      </c>
      <c r="T584" s="9">
        <f>Table1[[#This Row],[taxable wages]]+interest+dividends+short_term_capital_gains+long_term_capital_gains-(charitable_donations+mortgage_interest)</f>
        <v>273500</v>
      </c>
      <c r="U584" s="9">
        <f>MAX(amt_exemption-amt_exemption_phase_out_rate*MAX(Table1[[#This Row],[taxable wages]]-amt_phase_out_begins,0),0)</f>
        <v>55350</v>
      </c>
      <c r="V5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57356</v>
      </c>
      <c r="W584" s="1">
        <f>IF(AND(Table1[[#This Row],[AMT Taxes]]&gt;Table1[[#This Row],[Regular Taxes Owed]],Table1[[#This Row],[AMT Taxes]]&gt;0),Table1[[#This Row],[AMT Taxes]]-Table1[[#This Row],[Regular Taxes Owed]],0)</f>
        <v>5201.5</v>
      </c>
      <c r="X584" s="9">
        <f>Table1[[#This Row],[Extra Taxes From Amt]]+Table1[[#This Row],[Federal Taxes Owed (No AMT)]]</f>
        <v>57356</v>
      </c>
      <c r="Y584" s="9">
        <f>IF(Table1[[#This Row],[taxable wages]]&gt;obamacare_surcharge_amount,obamacare_surcharge_percent*(Table1[[#This Row],[taxable wages]]-obamacare_surcharge_amount),0)</f>
        <v>211.49999999999997</v>
      </c>
      <c r="Z584" s="9">
        <f>Table1[[#This Row],[Federal Taxes Owed (Includes AMT)]]+Table1[[#This Row],[Obamacare surcharge premium]]</f>
        <v>57567.5</v>
      </c>
      <c r="AA584" s="9">
        <f>Table1[[#This Row],[taxable wages]]-Table1[[#This Row],[Federal Taxes Owed2]]</f>
        <v>215932.5</v>
      </c>
      <c r="AB584" s="51">
        <f t="shared" si="51"/>
        <v>0.35899999999999999</v>
      </c>
      <c r="AC584" s="41"/>
      <c r="AD584" s="13"/>
      <c r="AE584" s="13"/>
    </row>
    <row r="585" spans="2:31" x14ac:dyDescent="0.3">
      <c r="B585" s="41">
        <f t="shared" si="52"/>
        <v>274000</v>
      </c>
      <c r="C585" s="1">
        <f>Table1[[#This Row],[taxable wages]]</f>
        <v>274000</v>
      </c>
      <c r="D585" s="1">
        <f>Table1[[#This Row],[taxable wages]]+interest+dividends+short_term_capital_gains+long_term_capital_gains</f>
        <v>274000</v>
      </c>
      <c r="E585" s="1">
        <f>MAX(Table1[[#This Row],[earned income for EITC]:[Agi For Eitc Calc]])</f>
        <v>274000</v>
      </c>
      <c r="F585" s="1">
        <f>Table1[[#This Row],[taxable wages]]+interest+dividends+short_term_capital_gains+long_term_capital_gains-(trad_ira_contributions+MIN(student_loan_interest_cap,student_loan_interest))</f>
        <v>274000</v>
      </c>
      <c r="G585" s="1">
        <f t="shared" si="48"/>
        <v>12600</v>
      </c>
      <c r="H585" s="1">
        <f t="shared" si="49"/>
        <v>28350</v>
      </c>
      <c r="I585" s="1">
        <f>MAX(0,Table1[[#This Row],[Agi]]-Table1[[#This Row],[Exemptions]]-Table1[[#This Row],[Effective Deductions]])</f>
        <v>233050</v>
      </c>
      <c r="J5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52319.5</v>
      </c>
      <c r="K585" s="1">
        <f t="shared" si="50"/>
        <v>5000</v>
      </c>
      <c r="L585" s="1">
        <f>IF(Table1[[#This Row],[Agi]]&gt;ctc_phase_out_begins,ctc_phase_out_rate*(Table1[[#This Row],[Agi]]-ctc_phase_out_begins),0)</f>
        <v>8200</v>
      </c>
      <c r="M585" s="1">
        <f>MAX(Table1[[#This Row],[Child Tax Credit]]-Table1[[#This Row],[Child Tax Credit Phase Out]],0)</f>
        <v>0</v>
      </c>
      <c r="N585" s="1">
        <f>MAX(Table1[[#This Row],[Regular Taxes Owed]]-Table1[[#This Row],[Effective Child Tax Credit]],0)</f>
        <v>52319.5</v>
      </c>
      <c r="O585" s="1">
        <f>MAX(MIN((Table1[[#This Row],[taxable wages]]-3000)*0.15,1000*num_kids_16_younger),0)</f>
        <v>5000</v>
      </c>
      <c r="P585" s="9">
        <f>IF(Table1[[#This Row],[Effective Child Tax Credit]]&gt;Table1[[#This Row],[Regular Taxes Owed]],Table1[[#This Row],[Additional Child Tax Credit ]]-Table1[[#This Row],[Regular Taxes Owed]],0)</f>
        <v>0</v>
      </c>
      <c r="Q5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5" s="1">
        <f>Table1[[#This Row],[Effective Additional Child Tax Credit]]+Table1[[#This Row],[Eitc]]</f>
        <v>0</v>
      </c>
      <c r="S585" s="9">
        <f>Table1[[#This Row],[Regular Taxes Owed - Effective Child Tax Credit]]-Table1[[#This Row],[Total Credits]]</f>
        <v>52319.5</v>
      </c>
      <c r="T585" s="9">
        <f>Table1[[#This Row],[taxable wages]]+interest+dividends+short_term_capital_gains+long_term_capital_gains-(charitable_donations+mortgage_interest)</f>
        <v>274000</v>
      </c>
      <c r="U585" s="9">
        <f>MAX(amt_exemption-amt_exemption_phase_out_rate*MAX(Table1[[#This Row],[taxable wages]]-amt_phase_out_begins,0),0)</f>
        <v>55225</v>
      </c>
      <c r="V5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57531</v>
      </c>
      <c r="W585" s="1">
        <f>IF(AND(Table1[[#This Row],[AMT Taxes]]&gt;Table1[[#This Row],[Regular Taxes Owed]],Table1[[#This Row],[AMT Taxes]]&gt;0),Table1[[#This Row],[AMT Taxes]]-Table1[[#This Row],[Regular Taxes Owed]],0)</f>
        <v>5211.5</v>
      </c>
      <c r="X585" s="9">
        <f>Table1[[#This Row],[Extra Taxes From Amt]]+Table1[[#This Row],[Federal Taxes Owed (No AMT)]]</f>
        <v>57531</v>
      </c>
      <c r="Y585" s="9">
        <f>IF(Table1[[#This Row],[taxable wages]]&gt;obamacare_surcharge_amount,obamacare_surcharge_percent*(Table1[[#This Row],[taxable wages]]-obamacare_surcharge_amount),0)</f>
        <v>215.99999999999997</v>
      </c>
      <c r="Z585" s="9">
        <f>Table1[[#This Row],[Federal Taxes Owed (Includes AMT)]]+Table1[[#This Row],[Obamacare surcharge premium]]</f>
        <v>57747</v>
      </c>
      <c r="AA585" s="9">
        <f>Table1[[#This Row],[taxable wages]]-Table1[[#This Row],[Federal Taxes Owed2]]</f>
        <v>216253</v>
      </c>
      <c r="AB585" s="51">
        <f t="shared" si="51"/>
        <v>0.35899999999999999</v>
      </c>
      <c r="AC585" s="41"/>
      <c r="AD585" s="13"/>
      <c r="AE585" s="13"/>
    </row>
    <row r="586" spans="2:31" x14ac:dyDescent="0.3">
      <c r="B586" s="41">
        <f t="shared" si="52"/>
        <v>274500</v>
      </c>
      <c r="C586" s="1">
        <f>Table1[[#This Row],[taxable wages]]</f>
        <v>274500</v>
      </c>
      <c r="D586" s="1">
        <f>Table1[[#This Row],[taxable wages]]+interest+dividends+short_term_capital_gains+long_term_capital_gains</f>
        <v>274500</v>
      </c>
      <c r="E586" s="1">
        <f>MAX(Table1[[#This Row],[earned income for EITC]:[Agi For Eitc Calc]])</f>
        <v>274500</v>
      </c>
      <c r="F586" s="1">
        <f>Table1[[#This Row],[taxable wages]]+interest+dividends+short_term_capital_gains+long_term_capital_gains-(trad_ira_contributions+MIN(student_loan_interest_cap,student_loan_interest))</f>
        <v>274500</v>
      </c>
      <c r="G586" s="1">
        <f t="shared" si="48"/>
        <v>12600</v>
      </c>
      <c r="H586" s="1">
        <f t="shared" si="49"/>
        <v>28350</v>
      </c>
      <c r="I586" s="1">
        <f>MAX(0,Table1[[#This Row],[Agi]]-Table1[[#This Row],[Exemptions]]-Table1[[#This Row],[Effective Deductions]])</f>
        <v>233550</v>
      </c>
      <c r="J5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52484.5</v>
      </c>
      <c r="K586" s="1">
        <f t="shared" si="50"/>
        <v>5000</v>
      </c>
      <c r="L586" s="1">
        <f>IF(Table1[[#This Row],[Agi]]&gt;ctc_phase_out_begins,ctc_phase_out_rate*(Table1[[#This Row],[Agi]]-ctc_phase_out_begins),0)</f>
        <v>8225</v>
      </c>
      <c r="M586" s="1">
        <f>MAX(Table1[[#This Row],[Child Tax Credit]]-Table1[[#This Row],[Child Tax Credit Phase Out]],0)</f>
        <v>0</v>
      </c>
      <c r="N586" s="1">
        <f>MAX(Table1[[#This Row],[Regular Taxes Owed]]-Table1[[#This Row],[Effective Child Tax Credit]],0)</f>
        <v>52484.5</v>
      </c>
      <c r="O586" s="1">
        <f>MAX(MIN((Table1[[#This Row],[taxable wages]]-3000)*0.15,1000*num_kids_16_younger),0)</f>
        <v>5000</v>
      </c>
      <c r="P586" s="9">
        <f>IF(Table1[[#This Row],[Effective Child Tax Credit]]&gt;Table1[[#This Row],[Regular Taxes Owed]],Table1[[#This Row],[Additional Child Tax Credit ]]-Table1[[#This Row],[Regular Taxes Owed]],0)</f>
        <v>0</v>
      </c>
      <c r="Q5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6" s="1">
        <f>Table1[[#This Row],[Effective Additional Child Tax Credit]]+Table1[[#This Row],[Eitc]]</f>
        <v>0</v>
      </c>
      <c r="S586" s="9">
        <f>Table1[[#This Row],[Regular Taxes Owed - Effective Child Tax Credit]]-Table1[[#This Row],[Total Credits]]</f>
        <v>52484.5</v>
      </c>
      <c r="T586" s="9">
        <f>Table1[[#This Row],[taxable wages]]+interest+dividends+short_term_capital_gains+long_term_capital_gains-(charitable_donations+mortgage_interest)</f>
        <v>274500</v>
      </c>
      <c r="U586" s="9">
        <f>MAX(amt_exemption-amt_exemption_phase_out_rate*MAX(Table1[[#This Row],[taxable wages]]-amt_phase_out_begins,0),0)</f>
        <v>55100</v>
      </c>
      <c r="V5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57706</v>
      </c>
      <c r="W586" s="1">
        <f>IF(AND(Table1[[#This Row],[AMT Taxes]]&gt;Table1[[#This Row],[Regular Taxes Owed]],Table1[[#This Row],[AMT Taxes]]&gt;0),Table1[[#This Row],[AMT Taxes]]-Table1[[#This Row],[Regular Taxes Owed]],0)</f>
        <v>5221.5</v>
      </c>
      <c r="X586" s="9">
        <f>Table1[[#This Row],[Extra Taxes From Amt]]+Table1[[#This Row],[Federal Taxes Owed (No AMT)]]</f>
        <v>57706</v>
      </c>
      <c r="Y586" s="9">
        <f>IF(Table1[[#This Row],[taxable wages]]&gt;obamacare_surcharge_amount,obamacare_surcharge_percent*(Table1[[#This Row],[taxable wages]]-obamacare_surcharge_amount),0)</f>
        <v>220.49999999999997</v>
      </c>
      <c r="Z586" s="9">
        <f>Table1[[#This Row],[Federal Taxes Owed (Includes AMT)]]+Table1[[#This Row],[Obamacare surcharge premium]]</f>
        <v>57926.5</v>
      </c>
      <c r="AA586" s="9">
        <f>Table1[[#This Row],[taxable wages]]-Table1[[#This Row],[Federal Taxes Owed2]]</f>
        <v>216573.5</v>
      </c>
      <c r="AB586" s="51">
        <f t="shared" si="51"/>
        <v>0.35899999999999999</v>
      </c>
      <c r="AC586" s="41"/>
      <c r="AD586" s="13"/>
      <c r="AE586" s="13"/>
    </row>
    <row r="587" spans="2:31" x14ac:dyDescent="0.3">
      <c r="B587" s="41">
        <f t="shared" si="52"/>
        <v>275000</v>
      </c>
      <c r="C587" s="1">
        <f>Table1[[#This Row],[taxable wages]]</f>
        <v>275000</v>
      </c>
      <c r="D587" s="1">
        <f>Table1[[#This Row],[taxable wages]]+interest+dividends+short_term_capital_gains+long_term_capital_gains</f>
        <v>275000</v>
      </c>
      <c r="E587" s="1">
        <f>MAX(Table1[[#This Row],[earned income for EITC]:[Agi For Eitc Calc]])</f>
        <v>275000</v>
      </c>
      <c r="F587" s="1">
        <f>Table1[[#This Row],[taxable wages]]+interest+dividends+short_term_capital_gains+long_term_capital_gains-(trad_ira_contributions+MIN(student_loan_interest_cap,student_loan_interest))</f>
        <v>275000</v>
      </c>
      <c r="G587" s="1">
        <f t="shared" si="48"/>
        <v>12600</v>
      </c>
      <c r="H587" s="1">
        <f t="shared" si="49"/>
        <v>28350</v>
      </c>
      <c r="I587" s="1">
        <f>MAX(0,Table1[[#This Row],[Agi]]-Table1[[#This Row],[Exemptions]]-Table1[[#This Row],[Effective Deductions]])</f>
        <v>234050</v>
      </c>
      <c r="J5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52649.5</v>
      </c>
      <c r="K587" s="1">
        <f t="shared" si="50"/>
        <v>5000</v>
      </c>
      <c r="L587" s="1">
        <f>IF(Table1[[#This Row],[Agi]]&gt;ctc_phase_out_begins,ctc_phase_out_rate*(Table1[[#This Row],[Agi]]-ctc_phase_out_begins),0)</f>
        <v>8250</v>
      </c>
      <c r="M587" s="1">
        <f>MAX(Table1[[#This Row],[Child Tax Credit]]-Table1[[#This Row],[Child Tax Credit Phase Out]],0)</f>
        <v>0</v>
      </c>
      <c r="N587" s="1">
        <f>MAX(Table1[[#This Row],[Regular Taxes Owed]]-Table1[[#This Row],[Effective Child Tax Credit]],0)</f>
        <v>52649.5</v>
      </c>
      <c r="O587" s="1">
        <f>MAX(MIN((Table1[[#This Row],[taxable wages]]-3000)*0.15,1000*num_kids_16_younger),0)</f>
        <v>5000</v>
      </c>
      <c r="P587" s="9">
        <f>IF(Table1[[#This Row],[Effective Child Tax Credit]]&gt;Table1[[#This Row],[Regular Taxes Owed]],Table1[[#This Row],[Additional Child Tax Credit ]]-Table1[[#This Row],[Regular Taxes Owed]],0)</f>
        <v>0</v>
      </c>
      <c r="Q5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7" s="1">
        <f>Table1[[#This Row],[Effective Additional Child Tax Credit]]+Table1[[#This Row],[Eitc]]</f>
        <v>0</v>
      </c>
      <c r="S587" s="9">
        <f>Table1[[#This Row],[Regular Taxes Owed - Effective Child Tax Credit]]-Table1[[#This Row],[Total Credits]]</f>
        <v>52649.5</v>
      </c>
      <c r="T587" s="9">
        <f>Table1[[#This Row],[taxable wages]]+interest+dividends+short_term_capital_gains+long_term_capital_gains-(charitable_donations+mortgage_interest)</f>
        <v>275000</v>
      </c>
      <c r="U587" s="9">
        <f>MAX(amt_exemption-amt_exemption_phase_out_rate*MAX(Table1[[#This Row],[taxable wages]]-amt_phase_out_begins,0),0)</f>
        <v>54975</v>
      </c>
      <c r="V5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57881</v>
      </c>
      <c r="W587" s="1">
        <f>IF(AND(Table1[[#This Row],[AMT Taxes]]&gt;Table1[[#This Row],[Regular Taxes Owed]],Table1[[#This Row],[AMT Taxes]]&gt;0),Table1[[#This Row],[AMT Taxes]]-Table1[[#This Row],[Regular Taxes Owed]],0)</f>
        <v>5231.5</v>
      </c>
      <c r="X587" s="9">
        <f>Table1[[#This Row],[Extra Taxes From Amt]]+Table1[[#This Row],[Federal Taxes Owed (No AMT)]]</f>
        <v>57881</v>
      </c>
      <c r="Y587" s="9">
        <f>IF(Table1[[#This Row],[taxable wages]]&gt;obamacare_surcharge_amount,obamacare_surcharge_percent*(Table1[[#This Row],[taxable wages]]-obamacare_surcharge_amount),0)</f>
        <v>224.99999999999997</v>
      </c>
      <c r="Z587" s="9">
        <f>Table1[[#This Row],[Federal Taxes Owed (Includes AMT)]]+Table1[[#This Row],[Obamacare surcharge premium]]</f>
        <v>58106</v>
      </c>
      <c r="AA587" s="9">
        <f>Table1[[#This Row],[taxable wages]]-Table1[[#This Row],[Federal Taxes Owed2]]</f>
        <v>216894</v>
      </c>
      <c r="AB587" s="51">
        <f t="shared" si="51"/>
        <v>0.35899999999999999</v>
      </c>
      <c r="AC587" s="41"/>
      <c r="AD587" s="13"/>
      <c r="AE587" s="13"/>
    </row>
    <row r="588" spans="2:31" x14ac:dyDescent="0.3">
      <c r="B588" s="41">
        <f t="shared" si="52"/>
        <v>275500</v>
      </c>
      <c r="C588" s="1">
        <f>Table1[[#This Row],[taxable wages]]</f>
        <v>275500</v>
      </c>
      <c r="D588" s="1">
        <f>Table1[[#This Row],[taxable wages]]+interest+dividends+short_term_capital_gains+long_term_capital_gains</f>
        <v>275500</v>
      </c>
      <c r="E588" s="1">
        <f>MAX(Table1[[#This Row],[earned income for EITC]:[Agi For Eitc Calc]])</f>
        <v>275500</v>
      </c>
      <c r="F588" s="1">
        <f>Table1[[#This Row],[taxable wages]]+interest+dividends+short_term_capital_gains+long_term_capital_gains-(trad_ira_contributions+MIN(student_loan_interest_cap,student_loan_interest))</f>
        <v>275500</v>
      </c>
      <c r="G588" s="1">
        <f t="shared" si="48"/>
        <v>12600</v>
      </c>
      <c r="H588" s="1">
        <f t="shared" si="49"/>
        <v>28350</v>
      </c>
      <c r="I588" s="1">
        <f>MAX(0,Table1[[#This Row],[Agi]]-Table1[[#This Row],[Exemptions]]-Table1[[#This Row],[Effective Deductions]])</f>
        <v>234550</v>
      </c>
      <c r="J5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52814.5</v>
      </c>
      <c r="K588" s="1">
        <f t="shared" si="50"/>
        <v>5000</v>
      </c>
      <c r="L588" s="1">
        <f>IF(Table1[[#This Row],[Agi]]&gt;ctc_phase_out_begins,ctc_phase_out_rate*(Table1[[#This Row],[Agi]]-ctc_phase_out_begins),0)</f>
        <v>8275</v>
      </c>
      <c r="M588" s="1">
        <f>MAX(Table1[[#This Row],[Child Tax Credit]]-Table1[[#This Row],[Child Tax Credit Phase Out]],0)</f>
        <v>0</v>
      </c>
      <c r="N588" s="1">
        <f>MAX(Table1[[#This Row],[Regular Taxes Owed]]-Table1[[#This Row],[Effective Child Tax Credit]],0)</f>
        <v>52814.5</v>
      </c>
      <c r="O588" s="1">
        <f>MAX(MIN((Table1[[#This Row],[taxable wages]]-3000)*0.15,1000*num_kids_16_younger),0)</f>
        <v>5000</v>
      </c>
      <c r="P588" s="9">
        <f>IF(Table1[[#This Row],[Effective Child Tax Credit]]&gt;Table1[[#This Row],[Regular Taxes Owed]],Table1[[#This Row],[Additional Child Tax Credit ]]-Table1[[#This Row],[Regular Taxes Owed]],0)</f>
        <v>0</v>
      </c>
      <c r="Q5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8" s="1">
        <f>Table1[[#This Row],[Effective Additional Child Tax Credit]]+Table1[[#This Row],[Eitc]]</f>
        <v>0</v>
      </c>
      <c r="S588" s="9">
        <f>Table1[[#This Row],[Regular Taxes Owed - Effective Child Tax Credit]]-Table1[[#This Row],[Total Credits]]</f>
        <v>52814.5</v>
      </c>
      <c r="T588" s="9">
        <f>Table1[[#This Row],[taxable wages]]+interest+dividends+short_term_capital_gains+long_term_capital_gains-(charitable_donations+mortgage_interest)</f>
        <v>275500</v>
      </c>
      <c r="U588" s="9">
        <f>MAX(amt_exemption-amt_exemption_phase_out_rate*MAX(Table1[[#This Row],[taxable wages]]-amt_phase_out_begins,0),0)</f>
        <v>54850</v>
      </c>
      <c r="V5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58056</v>
      </c>
      <c r="W588" s="1">
        <f>IF(AND(Table1[[#This Row],[AMT Taxes]]&gt;Table1[[#This Row],[Regular Taxes Owed]],Table1[[#This Row],[AMT Taxes]]&gt;0),Table1[[#This Row],[AMT Taxes]]-Table1[[#This Row],[Regular Taxes Owed]],0)</f>
        <v>5241.5</v>
      </c>
      <c r="X588" s="9">
        <f>Table1[[#This Row],[Extra Taxes From Amt]]+Table1[[#This Row],[Federal Taxes Owed (No AMT)]]</f>
        <v>58056</v>
      </c>
      <c r="Y588" s="9">
        <f>IF(Table1[[#This Row],[taxable wages]]&gt;obamacare_surcharge_amount,obamacare_surcharge_percent*(Table1[[#This Row],[taxable wages]]-obamacare_surcharge_amount),0)</f>
        <v>229.49999999999997</v>
      </c>
      <c r="Z588" s="9">
        <f>Table1[[#This Row],[Federal Taxes Owed (Includes AMT)]]+Table1[[#This Row],[Obamacare surcharge premium]]</f>
        <v>58285.5</v>
      </c>
      <c r="AA588" s="9">
        <f>Table1[[#This Row],[taxable wages]]-Table1[[#This Row],[Federal Taxes Owed2]]</f>
        <v>217214.5</v>
      </c>
      <c r="AB588" s="51">
        <f t="shared" si="51"/>
        <v>0.35899999999999999</v>
      </c>
      <c r="AC588" s="41"/>
      <c r="AD588" s="13"/>
      <c r="AE588" s="13"/>
    </row>
    <row r="589" spans="2:31" x14ac:dyDescent="0.3">
      <c r="B589" s="41">
        <f t="shared" si="52"/>
        <v>276000</v>
      </c>
      <c r="C589" s="1">
        <f>Table1[[#This Row],[taxable wages]]</f>
        <v>276000</v>
      </c>
      <c r="D589" s="1">
        <f>Table1[[#This Row],[taxable wages]]+interest+dividends+short_term_capital_gains+long_term_capital_gains</f>
        <v>276000</v>
      </c>
      <c r="E589" s="1">
        <f>MAX(Table1[[#This Row],[earned income for EITC]:[Agi For Eitc Calc]])</f>
        <v>276000</v>
      </c>
      <c r="F589" s="1">
        <f>Table1[[#This Row],[taxable wages]]+interest+dividends+short_term_capital_gains+long_term_capital_gains-(trad_ira_contributions+MIN(student_loan_interest_cap,student_loan_interest))</f>
        <v>276000</v>
      </c>
      <c r="G589" s="1">
        <f t="shared" si="48"/>
        <v>12600</v>
      </c>
      <c r="H589" s="1">
        <f t="shared" si="49"/>
        <v>28350</v>
      </c>
      <c r="I589" s="1">
        <f>MAX(0,Table1[[#This Row],[Agi]]-Table1[[#This Row],[Exemptions]]-Table1[[#This Row],[Effective Deductions]])</f>
        <v>235050</v>
      </c>
      <c r="J5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52979.5</v>
      </c>
      <c r="K589" s="1">
        <f t="shared" si="50"/>
        <v>5000</v>
      </c>
      <c r="L589" s="1">
        <f>IF(Table1[[#This Row],[Agi]]&gt;ctc_phase_out_begins,ctc_phase_out_rate*(Table1[[#This Row],[Agi]]-ctc_phase_out_begins),0)</f>
        <v>8300</v>
      </c>
      <c r="M589" s="1">
        <f>MAX(Table1[[#This Row],[Child Tax Credit]]-Table1[[#This Row],[Child Tax Credit Phase Out]],0)</f>
        <v>0</v>
      </c>
      <c r="N589" s="1">
        <f>MAX(Table1[[#This Row],[Regular Taxes Owed]]-Table1[[#This Row],[Effective Child Tax Credit]],0)</f>
        <v>52979.5</v>
      </c>
      <c r="O589" s="1">
        <f>MAX(MIN((Table1[[#This Row],[taxable wages]]-3000)*0.15,1000*num_kids_16_younger),0)</f>
        <v>5000</v>
      </c>
      <c r="P589" s="9">
        <f>IF(Table1[[#This Row],[Effective Child Tax Credit]]&gt;Table1[[#This Row],[Regular Taxes Owed]],Table1[[#This Row],[Additional Child Tax Credit ]]-Table1[[#This Row],[Regular Taxes Owed]],0)</f>
        <v>0</v>
      </c>
      <c r="Q5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89" s="1">
        <f>Table1[[#This Row],[Effective Additional Child Tax Credit]]+Table1[[#This Row],[Eitc]]</f>
        <v>0</v>
      </c>
      <c r="S589" s="9">
        <f>Table1[[#This Row],[Regular Taxes Owed - Effective Child Tax Credit]]-Table1[[#This Row],[Total Credits]]</f>
        <v>52979.5</v>
      </c>
      <c r="T589" s="9">
        <f>Table1[[#This Row],[taxable wages]]+interest+dividends+short_term_capital_gains+long_term_capital_gains-(charitable_donations+mortgage_interest)</f>
        <v>276000</v>
      </c>
      <c r="U589" s="9">
        <f>MAX(amt_exemption-amt_exemption_phase_out_rate*MAX(Table1[[#This Row],[taxable wages]]-amt_phase_out_begins,0),0)</f>
        <v>54725</v>
      </c>
      <c r="V5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58231</v>
      </c>
      <c r="W589" s="1">
        <f>IF(AND(Table1[[#This Row],[AMT Taxes]]&gt;Table1[[#This Row],[Regular Taxes Owed]],Table1[[#This Row],[AMT Taxes]]&gt;0),Table1[[#This Row],[AMT Taxes]]-Table1[[#This Row],[Regular Taxes Owed]],0)</f>
        <v>5251.5</v>
      </c>
      <c r="X589" s="9">
        <f>Table1[[#This Row],[Extra Taxes From Amt]]+Table1[[#This Row],[Federal Taxes Owed (No AMT)]]</f>
        <v>58231</v>
      </c>
      <c r="Y589" s="9">
        <f>IF(Table1[[#This Row],[taxable wages]]&gt;obamacare_surcharge_amount,obamacare_surcharge_percent*(Table1[[#This Row],[taxable wages]]-obamacare_surcharge_amount),0)</f>
        <v>233.99999999999997</v>
      </c>
      <c r="Z589" s="9">
        <f>Table1[[#This Row],[Federal Taxes Owed (Includes AMT)]]+Table1[[#This Row],[Obamacare surcharge premium]]</f>
        <v>58465</v>
      </c>
      <c r="AA589" s="9">
        <f>Table1[[#This Row],[taxable wages]]-Table1[[#This Row],[Federal Taxes Owed2]]</f>
        <v>217535</v>
      </c>
      <c r="AB589" s="51">
        <f t="shared" si="51"/>
        <v>0.35899999999999999</v>
      </c>
      <c r="AC589" s="41"/>
      <c r="AD589" s="13"/>
      <c r="AE589" s="13"/>
    </row>
    <row r="590" spans="2:31" x14ac:dyDescent="0.3">
      <c r="B590" s="41">
        <f t="shared" si="52"/>
        <v>276500</v>
      </c>
      <c r="C590" s="1">
        <f>Table1[[#This Row],[taxable wages]]</f>
        <v>276500</v>
      </c>
      <c r="D590" s="1">
        <f>Table1[[#This Row],[taxable wages]]+interest+dividends+short_term_capital_gains+long_term_capital_gains</f>
        <v>276500</v>
      </c>
      <c r="E590" s="1">
        <f>MAX(Table1[[#This Row],[earned income for EITC]:[Agi For Eitc Calc]])</f>
        <v>276500</v>
      </c>
      <c r="F590" s="1">
        <f>Table1[[#This Row],[taxable wages]]+interest+dividends+short_term_capital_gains+long_term_capital_gains-(trad_ira_contributions+MIN(student_loan_interest_cap,student_loan_interest))</f>
        <v>276500</v>
      </c>
      <c r="G590" s="1">
        <f t="shared" si="48"/>
        <v>12600</v>
      </c>
      <c r="H590" s="1">
        <f t="shared" si="49"/>
        <v>28350</v>
      </c>
      <c r="I590" s="1">
        <f>MAX(0,Table1[[#This Row],[Agi]]-Table1[[#This Row],[Exemptions]]-Table1[[#This Row],[Effective Deductions]])</f>
        <v>235550</v>
      </c>
      <c r="J5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53144.5</v>
      </c>
      <c r="K590" s="1">
        <f t="shared" si="50"/>
        <v>5000</v>
      </c>
      <c r="L590" s="1">
        <f>IF(Table1[[#This Row],[Agi]]&gt;ctc_phase_out_begins,ctc_phase_out_rate*(Table1[[#This Row],[Agi]]-ctc_phase_out_begins),0)</f>
        <v>8325</v>
      </c>
      <c r="M590" s="1">
        <f>MAX(Table1[[#This Row],[Child Tax Credit]]-Table1[[#This Row],[Child Tax Credit Phase Out]],0)</f>
        <v>0</v>
      </c>
      <c r="N590" s="1">
        <f>MAX(Table1[[#This Row],[Regular Taxes Owed]]-Table1[[#This Row],[Effective Child Tax Credit]],0)</f>
        <v>53144.5</v>
      </c>
      <c r="O590" s="1">
        <f>MAX(MIN((Table1[[#This Row],[taxable wages]]-3000)*0.15,1000*num_kids_16_younger),0)</f>
        <v>5000</v>
      </c>
      <c r="P590" s="9">
        <f>IF(Table1[[#This Row],[Effective Child Tax Credit]]&gt;Table1[[#This Row],[Regular Taxes Owed]],Table1[[#This Row],[Additional Child Tax Credit ]]-Table1[[#This Row],[Regular Taxes Owed]],0)</f>
        <v>0</v>
      </c>
      <c r="Q5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0" s="1">
        <f>Table1[[#This Row],[Effective Additional Child Tax Credit]]+Table1[[#This Row],[Eitc]]</f>
        <v>0</v>
      </c>
      <c r="S590" s="9">
        <f>Table1[[#This Row],[Regular Taxes Owed - Effective Child Tax Credit]]-Table1[[#This Row],[Total Credits]]</f>
        <v>53144.5</v>
      </c>
      <c r="T590" s="9">
        <f>Table1[[#This Row],[taxable wages]]+interest+dividends+short_term_capital_gains+long_term_capital_gains-(charitable_donations+mortgage_interest)</f>
        <v>276500</v>
      </c>
      <c r="U590" s="9">
        <f>MAX(amt_exemption-amt_exemption_phase_out_rate*MAX(Table1[[#This Row],[taxable wages]]-amt_phase_out_begins,0),0)</f>
        <v>54600</v>
      </c>
      <c r="V5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58406</v>
      </c>
      <c r="W590" s="1">
        <f>IF(AND(Table1[[#This Row],[AMT Taxes]]&gt;Table1[[#This Row],[Regular Taxes Owed]],Table1[[#This Row],[AMT Taxes]]&gt;0),Table1[[#This Row],[AMT Taxes]]-Table1[[#This Row],[Regular Taxes Owed]],0)</f>
        <v>5261.5</v>
      </c>
      <c r="X590" s="9">
        <f>Table1[[#This Row],[Extra Taxes From Amt]]+Table1[[#This Row],[Federal Taxes Owed (No AMT)]]</f>
        <v>58406</v>
      </c>
      <c r="Y590" s="9">
        <f>IF(Table1[[#This Row],[taxable wages]]&gt;obamacare_surcharge_amount,obamacare_surcharge_percent*(Table1[[#This Row],[taxable wages]]-obamacare_surcharge_amount),0)</f>
        <v>238.49999999999997</v>
      </c>
      <c r="Z590" s="9">
        <f>Table1[[#This Row],[Federal Taxes Owed (Includes AMT)]]+Table1[[#This Row],[Obamacare surcharge premium]]</f>
        <v>58644.5</v>
      </c>
      <c r="AA590" s="9">
        <f>Table1[[#This Row],[taxable wages]]-Table1[[#This Row],[Federal Taxes Owed2]]</f>
        <v>217855.5</v>
      </c>
      <c r="AB590" s="51">
        <f t="shared" si="51"/>
        <v>0.35899999999999999</v>
      </c>
      <c r="AC590" s="41"/>
      <c r="AD590" s="13"/>
      <c r="AE590" s="13"/>
    </row>
    <row r="591" spans="2:31" x14ac:dyDescent="0.3">
      <c r="B591" s="41">
        <f t="shared" si="52"/>
        <v>277000</v>
      </c>
      <c r="C591" s="1">
        <f>Table1[[#This Row],[taxable wages]]</f>
        <v>277000</v>
      </c>
      <c r="D591" s="1">
        <f>Table1[[#This Row],[taxable wages]]+interest+dividends+short_term_capital_gains+long_term_capital_gains</f>
        <v>277000</v>
      </c>
      <c r="E591" s="1">
        <f>MAX(Table1[[#This Row],[earned income for EITC]:[Agi For Eitc Calc]])</f>
        <v>277000</v>
      </c>
      <c r="F591" s="1">
        <f>Table1[[#This Row],[taxable wages]]+interest+dividends+short_term_capital_gains+long_term_capital_gains-(trad_ira_contributions+MIN(student_loan_interest_cap,student_loan_interest))</f>
        <v>277000</v>
      </c>
      <c r="G591" s="1">
        <f t="shared" si="48"/>
        <v>12600</v>
      </c>
      <c r="H591" s="1">
        <f t="shared" si="49"/>
        <v>28350</v>
      </c>
      <c r="I591" s="1">
        <f>MAX(0,Table1[[#This Row],[Agi]]-Table1[[#This Row],[Exemptions]]-Table1[[#This Row],[Effective Deductions]])</f>
        <v>236050</v>
      </c>
      <c r="J5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53309.5</v>
      </c>
      <c r="K591" s="1">
        <f t="shared" si="50"/>
        <v>5000</v>
      </c>
      <c r="L591" s="1">
        <f>IF(Table1[[#This Row],[Agi]]&gt;ctc_phase_out_begins,ctc_phase_out_rate*(Table1[[#This Row],[Agi]]-ctc_phase_out_begins),0)</f>
        <v>8350</v>
      </c>
      <c r="M591" s="1">
        <f>MAX(Table1[[#This Row],[Child Tax Credit]]-Table1[[#This Row],[Child Tax Credit Phase Out]],0)</f>
        <v>0</v>
      </c>
      <c r="N591" s="1">
        <f>MAX(Table1[[#This Row],[Regular Taxes Owed]]-Table1[[#This Row],[Effective Child Tax Credit]],0)</f>
        <v>53309.5</v>
      </c>
      <c r="O591" s="1">
        <f>MAX(MIN((Table1[[#This Row],[taxable wages]]-3000)*0.15,1000*num_kids_16_younger),0)</f>
        <v>5000</v>
      </c>
      <c r="P591" s="9">
        <f>IF(Table1[[#This Row],[Effective Child Tax Credit]]&gt;Table1[[#This Row],[Regular Taxes Owed]],Table1[[#This Row],[Additional Child Tax Credit ]]-Table1[[#This Row],[Regular Taxes Owed]],0)</f>
        <v>0</v>
      </c>
      <c r="Q5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1" s="1">
        <f>Table1[[#This Row],[Effective Additional Child Tax Credit]]+Table1[[#This Row],[Eitc]]</f>
        <v>0</v>
      </c>
      <c r="S591" s="9">
        <f>Table1[[#This Row],[Regular Taxes Owed - Effective Child Tax Credit]]-Table1[[#This Row],[Total Credits]]</f>
        <v>53309.5</v>
      </c>
      <c r="T591" s="9">
        <f>Table1[[#This Row],[taxable wages]]+interest+dividends+short_term_capital_gains+long_term_capital_gains-(charitable_donations+mortgage_interest)</f>
        <v>277000</v>
      </c>
      <c r="U591" s="9">
        <f>MAX(amt_exemption-amt_exemption_phase_out_rate*MAX(Table1[[#This Row],[taxable wages]]-amt_phase_out_begins,0),0)</f>
        <v>54475</v>
      </c>
      <c r="V5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58581</v>
      </c>
      <c r="W591" s="1">
        <f>IF(AND(Table1[[#This Row],[AMT Taxes]]&gt;Table1[[#This Row],[Regular Taxes Owed]],Table1[[#This Row],[AMT Taxes]]&gt;0),Table1[[#This Row],[AMT Taxes]]-Table1[[#This Row],[Regular Taxes Owed]],0)</f>
        <v>5271.5</v>
      </c>
      <c r="X591" s="9">
        <f>Table1[[#This Row],[Extra Taxes From Amt]]+Table1[[#This Row],[Federal Taxes Owed (No AMT)]]</f>
        <v>58581</v>
      </c>
      <c r="Y591" s="9">
        <f>IF(Table1[[#This Row],[taxable wages]]&gt;obamacare_surcharge_amount,obamacare_surcharge_percent*(Table1[[#This Row],[taxable wages]]-obamacare_surcharge_amount),0)</f>
        <v>242.99999999999997</v>
      </c>
      <c r="Z591" s="9">
        <f>Table1[[#This Row],[Federal Taxes Owed (Includes AMT)]]+Table1[[#This Row],[Obamacare surcharge premium]]</f>
        <v>58824</v>
      </c>
      <c r="AA591" s="9">
        <f>Table1[[#This Row],[taxable wages]]-Table1[[#This Row],[Federal Taxes Owed2]]</f>
        <v>218176</v>
      </c>
      <c r="AB591" s="51">
        <f t="shared" si="51"/>
        <v>0.35899999999999999</v>
      </c>
      <c r="AC591" s="41"/>
      <c r="AD591" s="13"/>
      <c r="AE591" s="13"/>
    </row>
    <row r="592" spans="2:31" x14ac:dyDescent="0.3">
      <c r="B592" s="41">
        <f t="shared" si="52"/>
        <v>277500</v>
      </c>
      <c r="C592" s="1">
        <f>Table1[[#This Row],[taxable wages]]</f>
        <v>277500</v>
      </c>
      <c r="D592" s="1">
        <f>Table1[[#This Row],[taxable wages]]+interest+dividends+short_term_capital_gains+long_term_capital_gains</f>
        <v>277500</v>
      </c>
      <c r="E592" s="1">
        <f>MAX(Table1[[#This Row],[earned income for EITC]:[Agi For Eitc Calc]])</f>
        <v>277500</v>
      </c>
      <c r="F592" s="1">
        <f>Table1[[#This Row],[taxable wages]]+interest+dividends+short_term_capital_gains+long_term_capital_gains-(trad_ira_contributions+MIN(student_loan_interest_cap,student_loan_interest))</f>
        <v>277500</v>
      </c>
      <c r="G592" s="1">
        <f t="shared" si="48"/>
        <v>12600</v>
      </c>
      <c r="H592" s="1">
        <f t="shared" si="49"/>
        <v>28350</v>
      </c>
      <c r="I592" s="1">
        <f>MAX(0,Table1[[#This Row],[Agi]]-Table1[[#This Row],[Exemptions]]-Table1[[#This Row],[Effective Deductions]])</f>
        <v>236550</v>
      </c>
      <c r="J5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53474.5</v>
      </c>
      <c r="K592" s="1">
        <f t="shared" si="50"/>
        <v>5000</v>
      </c>
      <c r="L592" s="1">
        <f>IF(Table1[[#This Row],[Agi]]&gt;ctc_phase_out_begins,ctc_phase_out_rate*(Table1[[#This Row],[Agi]]-ctc_phase_out_begins),0)</f>
        <v>8375</v>
      </c>
      <c r="M592" s="1">
        <f>MAX(Table1[[#This Row],[Child Tax Credit]]-Table1[[#This Row],[Child Tax Credit Phase Out]],0)</f>
        <v>0</v>
      </c>
      <c r="N592" s="1">
        <f>MAX(Table1[[#This Row],[Regular Taxes Owed]]-Table1[[#This Row],[Effective Child Tax Credit]],0)</f>
        <v>53474.5</v>
      </c>
      <c r="O592" s="1">
        <f>MAX(MIN((Table1[[#This Row],[taxable wages]]-3000)*0.15,1000*num_kids_16_younger),0)</f>
        <v>5000</v>
      </c>
      <c r="P592" s="9">
        <f>IF(Table1[[#This Row],[Effective Child Tax Credit]]&gt;Table1[[#This Row],[Regular Taxes Owed]],Table1[[#This Row],[Additional Child Tax Credit ]]-Table1[[#This Row],[Regular Taxes Owed]],0)</f>
        <v>0</v>
      </c>
      <c r="Q5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2" s="1">
        <f>Table1[[#This Row],[Effective Additional Child Tax Credit]]+Table1[[#This Row],[Eitc]]</f>
        <v>0</v>
      </c>
      <c r="S592" s="9">
        <f>Table1[[#This Row],[Regular Taxes Owed - Effective Child Tax Credit]]-Table1[[#This Row],[Total Credits]]</f>
        <v>53474.5</v>
      </c>
      <c r="T592" s="9">
        <f>Table1[[#This Row],[taxable wages]]+interest+dividends+short_term_capital_gains+long_term_capital_gains-(charitable_donations+mortgage_interest)</f>
        <v>277500</v>
      </c>
      <c r="U592" s="9">
        <f>MAX(amt_exemption-amt_exemption_phase_out_rate*MAX(Table1[[#This Row],[taxable wages]]-amt_phase_out_begins,0),0)</f>
        <v>54350</v>
      </c>
      <c r="V5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58756</v>
      </c>
      <c r="W592" s="1">
        <f>IF(AND(Table1[[#This Row],[AMT Taxes]]&gt;Table1[[#This Row],[Regular Taxes Owed]],Table1[[#This Row],[AMT Taxes]]&gt;0),Table1[[#This Row],[AMT Taxes]]-Table1[[#This Row],[Regular Taxes Owed]],0)</f>
        <v>5281.5</v>
      </c>
      <c r="X592" s="9">
        <f>Table1[[#This Row],[Extra Taxes From Amt]]+Table1[[#This Row],[Federal Taxes Owed (No AMT)]]</f>
        <v>58756</v>
      </c>
      <c r="Y592" s="9">
        <f>IF(Table1[[#This Row],[taxable wages]]&gt;obamacare_surcharge_amount,obamacare_surcharge_percent*(Table1[[#This Row],[taxable wages]]-obamacare_surcharge_amount),0)</f>
        <v>247.49999999999997</v>
      </c>
      <c r="Z592" s="9">
        <f>Table1[[#This Row],[Federal Taxes Owed (Includes AMT)]]+Table1[[#This Row],[Obamacare surcharge premium]]</f>
        <v>59003.5</v>
      </c>
      <c r="AA592" s="9">
        <f>Table1[[#This Row],[taxable wages]]-Table1[[#This Row],[Federal Taxes Owed2]]</f>
        <v>218496.5</v>
      </c>
      <c r="AB592" s="51">
        <f t="shared" si="51"/>
        <v>0.35899999999999999</v>
      </c>
      <c r="AC592" s="41"/>
      <c r="AD592" s="13"/>
      <c r="AE592" s="13"/>
    </row>
    <row r="593" spans="2:31" x14ac:dyDescent="0.3">
      <c r="B593" s="41">
        <f t="shared" si="52"/>
        <v>278000</v>
      </c>
      <c r="C593" s="1">
        <f>Table1[[#This Row],[taxable wages]]</f>
        <v>278000</v>
      </c>
      <c r="D593" s="1">
        <f>Table1[[#This Row],[taxable wages]]+interest+dividends+short_term_capital_gains+long_term_capital_gains</f>
        <v>278000</v>
      </c>
      <c r="E593" s="1">
        <f>MAX(Table1[[#This Row],[earned income for EITC]:[Agi For Eitc Calc]])</f>
        <v>278000</v>
      </c>
      <c r="F593" s="1">
        <f>Table1[[#This Row],[taxable wages]]+interest+dividends+short_term_capital_gains+long_term_capital_gains-(trad_ira_contributions+MIN(student_loan_interest_cap,student_loan_interest))</f>
        <v>278000</v>
      </c>
      <c r="G593" s="1">
        <f t="shared" si="48"/>
        <v>12600</v>
      </c>
      <c r="H593" s="1">
        <f t="shared" si="49"/>
        <v>28350</v>
      </c>
      <c r="I593" s="1">
        <f>MAX(0,Table1[[#This Row],[Agi]]-Table1[[#This Row],[Exemptions]]-Table1[[#This Row],[Effective Deductions]])</f>
        <v>237050</v>
      </c>
      <c r="J5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53639.5</v>
      </c>
      <c r="K593" s="1">
        <f t="shared" si="50"/>
        <v>5000</v>
      </c>
      <c r="L593" s="1">
        <f>IF(Table1[[#This Row],[Agi]]&gt;ctc_phase_out_begins,ctc_phase_out_rate*(Table1[[#This Row],[Agi]]-ctc_phase_out_begins),0)</f>
        <v>8400</v>
      </c>
      <c r="M593" s="1">
        <f>MAX(Table1[[#This Row],[Child Tax Credit]]-Table1[[#This Row],[Child Tax Credit Phase Out]],0)</f>
        <v>0</v>
      </c>
      <c r="N593" s="1">
        <f>MAX(Table1[[#This Row],[Regular Taxes Owed]]-Table1[[#This Row],[Effective Child Tax Credit]],0)</f>
        <v>53639.5</v>
      </c>
      <c r="O593" s="1">
        <f>MAX(MIN((Table1[[#This Row],[taxable wages]]-3000)*0.15,1000*num_kids_16_younger),0)</f>
        <v>5000</v>
      </c>
      <c r="P593" s="9">
        <f>IF(Table1[[#This Row],[Effective Child Tax Credit]]&gt;Table1[[#This Row],[Regular Taxes Owed]],Table1[[#This Row],[Additional Child Tax Credit ]]-Table1[[#This Row],[Regular Taxes Owed]],0)</f>
        <v>0</v>
      </c>
      <c r="Q5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3" s="1">
        <f>Table1[[#This Row],[Effective Additional Child Tax Credit]]+Table1[[#This Row],[Eitc]]</f>
        <v>0</v>
      </c>
      <c r="S593" s="9">
        <f>Table1[[#This Row],[Regular Taxes Owed - Effective Child Tax Credit]]-Table1[[#This Row],[Total Credits]]</f>
        <v>53639.5</v>
      </c>
      <c r="T593" s="9">
        <f>Table1[[#This Row],[taxable wages]]+interest+dividends+short_term_capital_gains+long_term_capital_gains-(charitable_donations+mortgage_interest)</f>
        <v>278000</v>
      </c>
      <c r="U593" s="9">
        <f>MAX(amt_exemption-amt_exemption_phase_out_rate*MAX(Table1[[#This Row],[taxable wages]]-amt_phase_out_begins,0),0)</f>
        <v>54225</v>
      </c>
      <c r="V5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58931</v>
      </c>
      <c r="W593" s="1">
        <f>IF(AND(Table1[[#This Row],[AMT Taxes]]&gt;Table1[[#This Row],[Regular Taxes Owed]],Table1[[#This Row],[AMT Taxes]]&gt;0),Table1[[#This Row],[AMT Taxes]]-Table1[[#This Row],[Regular Taxes Owed]],0)</f>
        <v>5291.5</v>
      </c>
      <c r="X593" s="9">
        <f>Table1[[#This Row],[Extra Taxes From Amt]]+Table1[[#This Row],[Federal Taxes Owed (No AMT)]]</f>
        <v>58931</v>
      </c>
      <c r="Y593" s="9">
        <f>IF(Table1[[#This Row],[taxable wages]]&gt;obamacare_surcharge_amount,obamacare_surcharge_percent*(Table1[[#This Row],[taxable wages]]-obamacare_surcharge_amount),0)</f>
        <v>251.99999999999997</v>
      </c>
      <c r="Z593" s="9">
        <f>Table1[[#This Row],[Federal Taxes Owed (Includes AMT)]]+Table1[[#This Row],[Obamacare surcharge premium]]</f>
        <v>59183</v>
      </c>
      <c r="AA593" s="9">
        <f>Table1[[#This Row],[taxable wages]]-Table1[[#This Row],[Federal Taxes Owed2]]</f>
        <v>218817</v>
      </c>
      <c r="AB593" s="51">
        <f t="shared" si="51"/>
        <v>0.35899999999999999</v>
      </c>
      <c r="AC593" s="41"/>
      <c r="AD593" s="13"/>
      <c r="AE593" s="13"/>
    </row>
    <row r="594" spans="2:31" x14ac:dyDescent="0.3">
      <c r="B594" s="41">
        <f t="shared" si="52"/>
        <v>278500</v>
      </c>
      <c r="C594" s="1">
        <f>Table1[[#This Row],[taxable wages]]</f>
        <v>278500</v>
      </c>
      <c r="D594" s="1">
        <f>Table1[[#This Row],[taxable wages]]+interest+dividends+short_term_capital_gains+long_term_capital_gains</f>
        <v>278500</v>
      </c>
      <c r="E594" s="1">
        <f>MAX(Table1[[#This Row],[earned income for EITC]:[Agi For Eitc Calc]])</f>
        <v>278500</v>
      </c>
      <c r="F594" s="1">
        <f>Table1[[#This Row],[taxable wages]]+interest+dividends+short_term_capital_gains+long_term_capital_gains-(trad_ira_contributions+MIN(student_loan_interest_cap,student_loan_interest))</f>
        <v>278500</v>
      </c>
      <c r="G594" s="1">
        <f t="shared" si="48"/>
        <v>12600</v>
      </c>
      <c r="H594" s="1">
        <f t="shared" si="49"/>
        <v>28350</v>
      </c>
      <c r="I594" s="1">
        <f>MAX(0,Table1[[#This Row],[Agi]]-Table1[[#This Row],[Exemptions]]-Table1[[#This Row],[Effective Deductions]])</f>
        <v>237550</v>
      </c>
      <c r="J5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53804.5</v>
      </c>
      <c r="K594" s="1">
        <f t="shared" si="50"/>
        <v>5000</v>
      </c>
      <c r="L594" s="1">
        <f>IF(Table1[[#This Row],[Agi]]&gt;ctc_phase_out_begins,ctc_phase_out_rate*(Table1[[#This Row],[Agi]]-ctc_phase_out_begins),0)</f>
        <v>8425</v>
      </c>
      <c r="M594" s="1">
        <f>MAX(Table1[[#This Row],[Child Tax Credit]]-Table1[[#This Row],[Child Tax Credit Phase Out]],0)</f>
        <v>0</v>
      </c>
      <c r="N594" s="1">
        <f>MAX(Table1[[#This Row],[Regular Taxes Owed]]-Table1[[#This Row],[Effective Child Tax Credit]],0)</f>
        <v>53804.5</v>
      </c>
      <c r="O594" s="1">
        <f>MAX(MIN((Table1[[#This Row],[taxable wages]]-3000)*0.15,1000*num_kids_16_younger),0)</f>
        <v>5000</v>
      </c>
      <c r="P594" s="9">
        <f>IF(Table1[[#This Row],[Effective Child Tax Credit]]&gt;Table1[[#This Row],[Regular Taxes Owed]],Table1[[#This Row],[Additional Child Tax Credit ]]-Table1[[#This Row],[Regular Taxes Owed]],0)</f>
        <v>0</v>
      </c>
      <c r="Q5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4" s="1">
        <f>Table1[[#This Row],[Effective Additional Child Tax Credit]]+Table1[[#This Row],[Eitc]]</f>
        <v>0</v>
      </c>
      <c r="S594" s="9">
        <f>Table1[[#This Row],[Regular Taxes Owed - Effective Child Tax Credit]]-Table1[[#This Row],[Total Credits]]</f>
        <v>53804.5</v>
      </c>
      <c r="T594" s="9">
        <f>Table1[[#This Row],[taxable wages]]+interest+dividends+short_term_capital_gains+long_term_capital_gains-(charitable_donations+mortgage_interest)</f>
        <v>278500</v>
      </c>
      <c r="U594" s="9">
        <f>MAX(amt_exemption-amt_exemption_phase_out_rate*MAX(Table1[[#This Row],[taxable wages]]-amt_phase_out_begins,0),0)</f>
        <v>54100</v>
      </c>
      <c r="V5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59106</v>
      </c>
      <c r="W594" s="1">
        <f>IF(AND(Table1[[#This Row],[AMT Taxes]]&gt;Table1[[#This Row],[Regular Taxes Owed]],Table1[[#This Row],[AMT Taxes]]&gt;0),Table1[[#This Row],[AMT Taxes]]-Table1[[#This Row],[Regular Taxes Owed]],0)</f>
        <v>5301.5</v>
      </c>
      <c r="X594" s="9">
        <f>Table1[[#This Row],[Extra Taxes From Amt]]+Table1[[#This Row],[Federal Taxes Owed (No AMT)]]</f>
        <v>59106</v>
      </c>
      <c r="Y594" s="9">
        <f>IF(Table1[[#This Row],[taxable wages]]&gt;obamacare_surcharge_amount,obamacare_surcharge_percent*(Table1[[#This Row],[taxable wages]]-obamacare_surcharge_amount),0)</f>
        <v>256.5</v>
      </c>
      <c r="Z594" s="9">
        <f>Table1[[#This Row],[Federal Taxes Owed (Includes AMT)]]+Table1[[#This Row],[Obamacare surcharge premium]]</f>
        <v>59362.5</v>
      </c>
      <c r="AA594" s="9">
        <f>Table1[[#This Row],[taxable wages]]-Table1[[#This Row],[Federal Taxes Owed2]]</f>
        <v>219137.5</v>
      </c>
      <c r="AB594" s="51">
        <f t="shared" si="51"/>
        <v>0.35899999999999999</v>
      </c>
      <c r="AC594" s="41"/>
      <c r="AD594" s="13"/>
      <c r="AE594" s="13"/>
    </row>
    <row r="595" spans="2:31" x14ac:dyDescent="0.3">
      <c r="B595" s="41">
        <f t="shared" si="52"/>
        <v>279000</v>
      </c>
      <c r="C595" s="1">
        <f>Table1[[#This Row],[taxable wages]]</f>
        <v>279000</v>
      </c>
      <c r="D595" s="1">
        <f>Table1[[#This Row],[taxable wages]]+interest+dividends+short_term_capital_gains+long_term_capital_gains</f>
        <v>279000</v>
      </c>
      <c r="E595" s="1">
        <f>MAX(Table1[[#This Row],[earned income for EITC]:[Agi For Eitc Calc]])</f>
        <v>279000</v>
      </c>
      <c r="F595" s="1">
        <f>Table1[[#This Row],[taxable wages]]+interest+dividends+short_term_capital_gains+long_term_capital_gains-(trad_ira_contributions+MIN(student_loan_interest_cap,student_loan_interest))</f>
        <v>279000</v>
      </c>
      <c r="G595" s="1">
        <f t="shared" si="48"/>
        <v>12600</v>
      </c>
      <c r="H595" s="1">
        <f t="shared" si="49"/>
        <v>28350</v>
      </c>
      <c r="I595" s="1">
        <f>MAX(0,Table1[[#This Row],[Agi]]-Table1[[#This Row],[Exemptions]]-Table1[[#This Row],[Effective Deductions]])</f>
        <v>238050</v>
      </c>
      <c r="J5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53969.5</v>
      </c>
      <c r="K595" s="1">
        <f t="shared" si="50"/>
        <v>5000</v>
      </c>
      <c r="L595" s="1">
        <f>IF(Table1[[#This Row],[Agi]]&gt;ctc_phase_out_begins,ctc_phase_out_rate*(Table1[[#This Row],[Agi]]-ctc_phase_out_begins),0)</f>
        <v>8450</v>
      </c>
      <c r="M595" s="1">
        <f>MAX(Table1[[#This Row],[Child Tax Credit]]-Table1[[#This Row],[Child Tax Credit Phase Out]],0)</f>
        <v>0</v>
      </c>
      <c r="N595" s="1">
        <f>MAX(Table1[[#This Row],[Regular Taxes Owed]]-Table1[[#This Row],[Effective Child Tax Credit]],0)</f>
        <v>53969.5</v>
      </c>
      <c r="O595" s="1">
        <f>MAX(MIN((Table1[[#This Row],[taxable wages]]-3000)*0.15,1000*num_kids_16_younger),0)</f>
        <v>5000</v>
      </c>
      <c r="P595" s="9">
        <f>IF(Table1[[#This Row],[Effective Child Tax Credit]]&gt;Table1[[#This Row],[Regular Taxes Owed]],Table1[[#This Row],[Additional Child Tax Credit ]]-Table1[[#This Row],[Regular Taxes Owed]],0)</f>
        <v>0</v>
      </c>
      <c r="Q5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5" s="1">
        <f>Table1[[#This Row],[Effective Additional Child Tax Credit]]+Table1[[#This Row],[Eitc]]</f>
        <v>0</v>
      </c>
      <c r="S595" s="9">
        <f>Table1[[#This Row],[Regular Taxes Owed - Effective Child Tax Credit]]-Table1[[#This Row],[Total Credits]]</f>
        <v>53969.5</v>
      </c>
      <c r="T595" s="9">
        <f>Table1[[#This Row],[taxable wages]]+interest+dividends+short_term_capital_gains+long_term_capital_gains-(charitable_donations+mortgage_interest)</f>
        <v>279000</v>
      </c>
      <c r="U595" s="9">
        <f>MAX(amt_exemption-amt_exemption_phase_out_rate*MAX(Table1[[#This Row],[taxable wages]]-amt_phase_out_begins,0),0)</f>
        <v>53975</v>
      </c>
      <c r="V5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59281</v>
      </c>
      <c r="W595" s="1">
        <f>IF(AND(Table1[[#This Row],[AMT Taxes]]&gt;Table1[[#This Row],[Regular Taxes Owed]],Table1[[#This Row],[AMT Taxes]]&gt;0),Table1[[#This Row],[AMT Taxes]]-Table1[[#This Row],[Regular Taxes Owed]],0)</f>
        <v>5311.5</v>
      </c>
      <c r="X595" s="9">
        <f>Table1[[#This Row],[Extra Taxes From Amt]]+Table1[[#This Row],[Federal Taxes Owed (No AMT)]]</f>
        <v>59281</v>
      </c>
      <c r="Y595" s="9">
        <f>IF(Table1[[#This Row],[taxable wages]]&gt;obamacare_surcharge_amount,obamacare_surcharge_percent*(Table1[[#This Row],[taxable wages]]-obamacare_surcharge_amount),0)</f>
        <v>261</v>
      </c>
      <c r="Z595" s="9">
        <f>Table1[[#This Row],[Federal Taxes Owed (Includes AMT)]]+Table1[[#This Row],[Obamacare surcharge premium]]</f>
        <v>59542</v>
      </c>
      <c r="AA595" s="9">
        <f>Table1[[#This Row],[taxable wages]]-Table1[[#This Row],[Federal Taxes Owed2]]</f>
        <v>219458</v>
      </c>
      <c r="AB595" s="51">
        <f t="shared" si="51"/>
        <v>0.35899999999999999</v>
      </c>
      <c r="AC595" s="41"/>
      <c r="AD595" s="13"/>
      <c r="AE595" s="13"/>
    </row>
    <row r="596" spans="2:31" x14ac:dyDescent="0.3">
      <c r="B596" s="41">
        <f t="shared" si="52"/>
        <v>279500</v>
      </c>
      <c r="C596" s="1">
        <f>Table1[[#This Row],[taxable wages]]</f>
        <v>279500</v>
      </c>
      <c r="D596" s="1">
        <f>Table1[[#This Row],[taxable wages]]+interest+dividends+short_term_capital_gains+long_term_capital_gains</f>
        <v>279500</v>
      </c>
      <c r="E596" s="1">
        <f>MAX(Table1[[#This Row],[earned income for EITC]:[Agi For Eitc Calc]])</f>
        <v>279500</v>
      </c>
      <c r="F596" s="1">
        <f>Table1[[#This Row],[taxable wages]]+interest+dividends+short_term_capital_gains+long_term_capital_gains-(trad_ira_contributions+MIN(student_loan_interest_cap,student_loan_interest))</f>
        <v>279500</v>
      </c>
      <c r="G596" s="1">
        <f t="shared" si="48"/>
        <v>12600</v>
      </c>
      <c r="H596" s="1">
        <f t="shared" si="49"/>
        <v>28350</v>
      </c>
      <c r="I596" s="1">
        <f>MAX(0,Table1[[#This Row],[Agi]]-Table1[[#This Row],[Exemptions]]-Table1[[#This Row],[Effective Deductions]])</f>
        <v>238550</v>
      </c>
      <c r="J5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54134.5</v>
      </c>
      <c r="K596" s="1">
        <f t="shared" si="50"/>
        <v>5000</v>
      </c>
      <c r="L596" s="1">
        <f>IF(Table1[[#This Row],[Agi]]&gt;ctc_phase_out_begins,ctc_phase_out_rate*(Table1[[#This Row],[Agi]]-ctc_phase_out_begins),0)</f>
        <v>8475</v>
      </c>
      <c r="M596" s="1">
        <f>MAX(Table1[[#This Row],[Child Tax Credit]]-Table1[[#This Row],[Child Tax Credit Phase Out]],0)</f>
        <v>0</v>
      </c>
      <c r="N596" s="1">
        <f>MAX(Table1[[#This Row],[Regular Taxes Owed]]-Table1[[#This Row],[Effective Child Tax Credit]],0)</f>
        <v>54134.5</v>
      </c>
      <c r="O596" s="1">
        <f>MAX(MIN((Table1[[#This Row],[taxable wages]]-3000)*0.15,1000*num_kids_16_younger),0)</f>
        <v>5000</v>
      </c>
      <c r="P596" s="9">
        <f>IF(Table1[[#This Row],[Effective Child Tax Credit]]&gt;Table1[[#This Row],[Regular Taxes Owed]],Table1[[#This Row],[Additional Child Tax Credit ]]-Table1[[#This Row],[Regular Taxes Owed]],0)</f>
        <v>0</v>
      </c>
      <c r="Q5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6" s="1">
        <f>Table1[[#This Row],[Effective Additional Child Tax Credit]]+Table1[[#This Row],[Eitc]]</f>
        <v>0</v>
      </c>
      <c r="S596" s="9">
        <f>Table1[[#This Row],[Regular Taxes Owed - Effective Child Tax Credit]]-Table1[[#This Row],[Total Credits]]</f>
        <v>54134.5</v>
      </c>
      <c r="T596" s="9">
        <f>Table1[[#This Row],[taxable wages]]+interest+dividends+short_term_capital_gains+long_term_capital_gains-(charitable_donations+mortgage_interest)</f>
        <v>279500</v>
      </c>
      <c r="U596" s="9">
        <f>MAX(amt_exemption-amt_exemption_phase_out_rate*MAX(Table1[[#This Row],[taxable wages]]-amt_phase_out_begins,0),0)</f>
        <v>53850</v>
      </c>
      <c r="V5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59456</v>
      </c>
      <c r="W596" s="1">
        <f>IF(AND(Table1[[#This Row],[AMT Taxes]]&gt;Table1[[#This Row],[Regular Taxes Owed]],Table1[[#This Row],[AMT Taxes]]&gt;0),Table1[[#This Row],[AMT Taxes]]-Table1[[#This Row],[Regular Taxes Owed]],0)</f>
        <v>5321.5</v>
      </c>
      <c r="X596" s="9">
        <f>Table1[[#This Row],[Extra Taxes From Amt]]+Table1[[#This Row],[Federal Taxes Owed (No AMT)]]</f>
        <v>59456</v>
      </c>
      <c r="Y596" s="9">
        <f>IF(Table1[[#This Row],[taxable wages]]&gt;obamacare_surcharge_amount,obamacare_surcharge_percent*(Table1[[#This Row],[taxable wages]]-obamacare_surcharge_amount),0)</f>
        <v>265.5</v>
      </c>
      <c r="Z596" s="9">
        <f>Table1[[#This Row],[Federal Taxes Owed (Includes AMT)]]+Table1[[#This Row],[Obamacare surcharge premium]]</f>
        <v>59721.5</v>
      </c>
      <c r="AA596" s="9">
        <f>Table1[[#This Row],[taxable wages]]-Table1[[#This Row],[Federal Taxes Owed2]]</f>
        <v>219778.5</v>
      </c>
      <c r="AB596" s="51">
        <f t="shared" si="51"/>
        <v>0.35899999999999999</v>
      </c>
      <c r="AC596" s="41"/>
      <c r="AD596" s="13"/>
      <c r="AE596" s="13"/>
    </row>
    <row r="597" spans="2:31" x14ac:dyDescent="0.3">
      <c r="B597" s="41">
        <f t="shared" si="52"/>
        <v>280000</v>
      </c>
      <c r="C597" s="1">
        <f>Table1[[#This Row],[taxable wages]]</f>
        <v>280000</v>
      </c>
      <c r="D597" s="1">
        <f>Table1[[#This Row],[taxable wages]]+interest+dividends+short_term_capital_gains+long_term_capital_gains</f>
        <v>280000</v>
      </c>
      <c r="E597" s="1">
        <f>MAX(Table1[[#This Row],[earned income for EITC]:[Agi For Eitc Calc]])</f>
        <v>280000</v>
      </c>
      <c r="F597" s="1">
        <f>Table1[[#This Row],[taxable wages]]+interest+dividends+short_term_capital_gains+long_term_capital_gains-(trad_ira_contributions+MIN(student_loan_interest_cap,student_loan_interest))</f>
        <v>280000</v>
      </c>
      <c r="G597" s="1">
        <f t="shared" si="48"/>
        <v>12600</v>
      </c>
      <c r="H597" s="1">
        <f t="shared" si="49"/>
        <v>28350</v>
      </c>
      <c r="I597" s="1">
        <f>MAX(0,Table1[[#This Row],[Agi]]-Table1[[#This Row],[Exemptions]]-Table1[[#This Row],[Effective Deductions]])</f>
        <v>239050</v>
      </c>
      <c r="J5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54299.5</v>
      </c>
      <c r="K597" s="1">
        <f t="shared" si="50"/>
        <v>5000</v>
      </c>
      <c r="L597" s="1">
        <f>IF(Table1[[#This Row],[Agi]]&gt;ctc_phase_out_begins,ctc_phase_out_rate*(Table1[[#This Row],[Agi]]-ctc_phase_out_begins),0)</f>
        <v>8500</v>
      </c>
      <c r="M597" s="1">
        <f>MAX(Table1[[#This Row],[Child Tax Credit]]-Table1[[#This Row],[Child Tax Credit Phase Out]],0)</f>
        <v>0</v>
      </c>
      <c r="N597" s="1">
        <f>MAX(Table1[[#This Row],[Regular Taxes Owed]]-Table1[[#This Row],[Effective Child Tax Credit]],0)</f>
        <v>54299.5</v>
      </c>
      <c r="O597" s="1">
        <f>MAX(MIN((Table1[[#This Row],[taxable wages]]-3000)*0.15,1000*num_kids_16_younger),0)</f>
        <v>5000</v>
      </c>
      <c r="P597" s="9">
        <f>IF(Table1[[#This Row],[Effective Child Tax Credit]]&gt;Table1[[#This Row],[Regular Taxes Owed]],Table1[[#This Row],[Additional Child Tax Credit ]]-Table1[[#This Row],[Regular Taxes Owed]],0)</f>
        <v>0</v>
      </c>
      <c r="Q5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7" s="1">
        <f>Table1[[#This Row],[Effective Additional Child Tax Credit]]+Table1[[#This Row],[Eitc]]</f>
        <v>0</v>
      </c>
      <c r="S597" s="9">
        <f>Table1[[#This Row],[Regular Taxes Owed - Effective Child Tax Credit]]-Table1[[#This Row],[Total Credits]]</f>
        <v>54299.5</v>
      </c>
      <c r="T597" s="9">
        <f>Table1[[#This Row],[taxable wages]]+interest+dividends+short_term_capital_gains+long_term_capital_gains-(charitable_donations+mortgage_interest)</f>
        <v>280000</v>
      </c>
      <c r="U597" s="9">
        <f>MAX(amt_exemption-amt_exemption_phase_out_rate*MAX(Table1[[#This Row],[taxable wages]]-amt_phase_out_begins,0),0)</f>
        <v>53725</v>
      </c>
      <c r="V5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59631</v>
      </c>
      <c r="W597" s="1">
        <f>IF(AND(Table1[[#This Row],[AMT Taxes]]&gt;Table1[[#This Row],[Regular Taxes Owed]],Table1[[#This Row],[AMT Taxes]]&gt;0),Table1[[#This Row],[AMT Taxes]]-Table1[[#This Row],[Regular Taxes Owed]],0)</f>
        <v>5331.5</v>
      </c>
      <c r="X597" s="9">
        <f>Table1[[#This Row],[Extra Taxes From Amt]]+Table1[[#This Row],[Federal Taxes Owed (No AMT)]]</f>
        <v>59631</v>
      </c>
      <c r="Y597" s="9">
        <f>IF(Table1[[#This Row],[taxable wages]]&gt;obamacare_surcharge_amount,obamacare_surcharge_percent*(Table1[[#This Row],[taxable wages]]-obamacare_surcharge_amount),0)</f>
        <v>270</v>
      </c>
      <c r="Z597" s="9">
        <f>Table1[[#This Row],[Federal Taxes Owed (Includes AMT)]]+Table1[[#This Row],[Obamacare surcharge premium]]</f>
        <v>59901</v>
      </c>
      <c r="AA597" s="9">
        <f>Table1[[#This Row],[taxable wages]]-Table1[[#This Row],[Federal Taxes Owed2]]</f>
        <v>220099</v>
      </c>
      <c r="AB597" s="51">
        <f t="shared" si="51"/>
        <v>0.35899999999999999</v>
      </c>
      <c r="AC597" s="41"/>
      <c r="AD597" s="13"/>
      <c r="AE597" s="13"/>
    </row>
    <row r="598" spans="2:31" x14ac:dyDescent="0.3">
      <c r="B598" s="41">
        <f t="shared" si="52"/>
        <v>280500</v>
      </c>
      <c r="C598" s="1">
        <f>Table1[[#This Row],[taxable wages]]</f>
        <v>280500</v>
      </c>
      <c r="D598" s="1">
        <f>Table1[[#This Row],[taxable wages]]+interest+dividends+short_term_capital_gains+long_term_capital_gains</f>
        <v>280500</v>
      </c>
      <c r="E598" s="1">
        <f>MAX(Table1[[#This Row],[earned income for EITC]:[Agi For Eitc Calc]])</f>
        <v>280500</v>
      </c>
      <c r="F598" s="1">
        <f>Table1[[#This Row],[taxable wages]]+interest+dividends+short_term_capital_gains+long_term_capital_gains-(trad_ira_contributions+MIN(student_loan_interest_cap,student_loan_interest))</f>
        <v>280500</v>
      </c>
      <c r="G598" s="1">
        <f t="shared" si="48"/>
        <v>12600</v>
      </c>
      <c r="H598" s="1">
        <f t="shared" si="49"/>
        <v>28350</v>
      </c>
      <c r="I598" s="1">
        <f>MAX(0,Table1[[#This Row],[Agi]]-Table1[[#This Row],[Exemptions]]-Table1[[#This Row],[Effective Deductions]])</f>
        <v>239550</v>
      </c>
      <c r="J5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54464.5</v>
      </c>
      <c r="K598" s="1">
        <f t="shared" si="50"/>
        <v>5000</v>
      </c>
      <c r="L598" s="1">
        <f>IF(Table1[[#This Row],[Agi]]&gt;ctc_phase_out_begins,ctc_phase_out_rate*(Table1[[#This Row],[Agi]]-ctc_phase_out_begins),0)</f>
        <v>8525</v>
      </c>
      <c r="M598" s="1">
        <f>MAX(Table1[[#This Row],[Child Tax Credit]]-Table1[[#This Row],[Child Tax Credit Phase Out]],0)</f>
        <v>0</v>
      </c>
      <c r="N598" s="1">
        <f>MAX(Table1[[#This Row],[Regular Taxes Owed]]-Table1[[#This Row],[Effective Child Tax Credit]],0)</f>
        <v>54464.5</v>
      </c>
      <c r="O598" s="1">
        <f>MAX(MIN((Table1[[#This Row],[taxable wages]]-3000)*0.15,1000*num_kids_16_younger),0)</f>
        <v>5000</v>
      </c>
      <c r="P598" s="9">
        <f>IF(Table1[[#This Row],[Effective Child Tax Credit]]&gt;Table1[[#This Row],[Regular Taxes Owed]],Table1[[#This Row],[Additional Child Tax Credit ]]-Table1[[#This Row],[Regular Taxes Owed]],0)</f>
        <v>0</v>
      </c>
      <c r="Q5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8" s="1">
        <f>Table1[[#This Row],[Effective Additional Child Tax Credit]]+Table1[[#This Row],[Eitc]]</f>
        <v>0</v>
      </c>
      <c r="S598" s="9">
        <f>Table1[[#This Row],[Regular Taxes Owed - Effective Child Tax Credit]]-Table1[[#This Row],[Total Credits]]</f>
        <v>54464.5</v>
      </c>
      <c r="T598" s="9">
        <f>Table1[[#This Row],[taxable wages]]+interest+dividends+short_term_capital_gains+long_term_capital_gains-(charitable_donations+mortgage_interest)</f>
        <v>280500</v>
      </c>
      <c r="U598" s="9">
        <f>MAX(amt_exemption-amt_exemption_phase_out_rate*MAX(Table1[[#This Row],[taxable wages]]-amt_phase_out_begins,0),0)</f>
        <v>53600</v>
      </c>
      <c r="V5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59806</v>
      </c>
      <c r="W598" s="1">
        <f>IF(AND(Table1[[#This Row],[AMT Taxes]]&gt;Table1[[#This Row],[Regular Taxes Owed]],Table1[[#This Row],[AMT Taxes]]&gt;0),Table1[[#This Row],[AMT Taxes]]-Table1[[#This Row],[Regular Taxes Owed]],0)</f>
        <v>5341.5</v>
      </c>
      <c r="X598" s="9">
        <f>Table1[[#This Row],[Extra Taxes From Amt]]+Table1[[#This Row],[Federal Taxes Owed (No AMT)]]</f>
        <v>59806</v>
      </c>
      <c r="Y598" s="9">
        <f>IF(Table1[[#This Row],[taxable wages]]&gt;obamacare_surcharge_amount,obamacare_surcharge_percent*(Table1[[#This Row],[taxable wages]]-obamacare_surcharge_amount),0)</f>
        <v>274.5</v>
      </c>
      <c r="Z598" s="9">
        <f>Table1[[#This Row],[Federal Taxes Owed (Includes AMT)]]+Table1[[#This Row],[Obamacare surcharge premium]]</f>
        <v>60080.5</v>
      </c>
      <c r="AA598" s="9">
        <f>Table1[[#This Row],[taxable wages]]-Table1[[#This Row],[Federal Taxes Owed2]]</f>
        <v>220419.5</v>
      </c>
      <c r="AB598" s="51">
        <f t="shared" si="51"/>
        <v>0.35899999999999999</v>
      </c>
      <c r="AC598" s="41"/>
      <c r="AD598" s="13"/>
      <c r="AE598" s="13"/>
    </row>
    <row r="599" spans="2:31" x14ac:dyDescent="0.3">
      <c r="B599" s="41">
        <f t="shared" si="52"/>
        <v>281000</v>
      </c>
      <c r="C599" s="1">
        <f>Table1[[#This Row],[taxable wages]]</f>
        <v>281000</v>
      </c>
      <c r="D599" s="1">
        <f>Table1[[#This Row],[taxable wages]]+interest+dividends+short_term_capital_gains+long_term_capital_gains</f>
        <v>281000</v>
      </c>
      <c r="E599" s="1">
        <f>MAX(Table1[[#This Row],[earned income for EITC]:[Agi For Eitc Calc]])</f>
        <v>281000</v>
      </c>
      <c r="F599" s="1">
        <f>Table1[[#This Row],[taxable wages]]+interest+dividends+short_term_capital_gains+long_term_capital_gains-(trad_ira_contributions+MIN(student_loan_interest_cap,student_loan_interest))</f>
        <v>281000</v>
      </c>
      <c r="G599" s="1">
        <f t="shared" si="48"/>
        <v>12600</v>
      </c>
      <c r="H599" s="1">
        <f t="shared" si="49"/>
        <v>28350</v>
      </c>
      <c r="I599" s="1">
        <f>MAX(0,Table1[[#This Row],[Agi]]-Table1[[#This Row],[Exemptions]]-Table1[[#This Row],[Effective Deductions]])</f>
        <v>240050</v>
      </c>
      <c r="J5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54629.5</v>
      </c>
      <c r="K599" s="1">
        <f t="shared" si="50"/>
        <v>5000</v>
      </c>
      <c r="L599" s="1">
        <f>IF(Table1[[#This Row],[Agi]]&gt;ctc_phase_out_begins,ctc_phase_out_rate*(Table1[[#This Row],[Agi]]-ctc_phase_out_begins),0)</f>
        <v>8550</v>
      </c>
      <c r="M599" s="1">
        <f>MAX(Table1[[#This Row],[Child Tax Credit]]-Table1[[#This Row],[Child Tax Credit Phase Out]],0)</f>
        <v>0</v>
      </c>
      <c r="N599" s="1">
        <f>MAX(Table1[[#This Row],[Regular Taxes Owed]]-Table1[[#This Row],[Effective Child Tax Credit]],0)</f>
        <v>54629.5</v>
      </c>
      <c r="O599" s="1">
        <f>MAX(MIN((Table1[[#This Row],[taxable wages]]-3000)*0.15,1000*num_kids_16_younger),0)</f>
        <v>5000</v>
      </c>
      <c r="P599" s="9">
        <f>IF(Table1[[#This Row],[Effective Child Tax Credit]]&gt;Table1[[#This Row],[Regular Taxes Owed]],Table1[[#This Row],[Additional Child Tax Credit ]]-Table1[[#This Row],[Regular Taxes Owed]],0)</f>
        <v>0</v>
      </c>
      <c r="Q5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599" s="1">
        <f>Table1[[#This Row],[Effective Additional Child Tax Credit]]+Table1[[#This Row],[Eitc]]</f>
        <v>0</v>
      </c>
      <c r="S599" s="9">
        <f>Table1[[#This Row],[Regular Taxes Owed - Effective Child Tax Credit]]-Table1[[#This Row],[Total Credits]]</f>
        <v>54629.5</v>
      </c>
      <c r="T599" s="9">
        <f>Table1[[#This Row],[taxable wages]]+interest+dividends+short_term_capital_gains+long_term_capital_gains-(charitable_donations+mortgage_interest)</f>
        <v>281000</v>
      </c>
      <c r="U599" s="9">
        <f>MAX(amt_exemption-amt_exemption_phase_out_rate*MAX(Table1[[#This Row],[taxable wages]]-amt_phase_out_begins,0),0)</f>
        <v>53475</v>
      </c>
      <c r="V5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59981</v>
      </c>
      <c r="W599" s="1">
        <f>IF(AND(Table1[[#This Row],[AMT Taxes]]&gt;Table1[[#This Row],[Regular Taxes Owed]],Table1[[#This Row],[AMT Taxes]]&gt;0),Table1[[#This Row],[AMT Taxes]]-Table1[[#This Row],[Regular Taxes Owed]],0)</f>
        <v>5351.5</v>
      </c>
      <c r="X599" s="9">
        <f>Table1[[#This Row],[Extra Taxes From Amt]]+Table1[[#This Row],[Federal Taxes Owed (No AMT)]]</f>
        <v>59981</v>
      </c>
      <c r="Y599" s="9">
        <f>IF(Table1[[#This Row],[taxable wages]]&gt;obamacare_surcharge_amount,obamacare_surcharge_percent*(Table1[[#This Row],[taxable wages]]-obamacare_surcharge_amount),0)</f>
        <v>279</v>
      </c>
      <c r="Z599" s="9">
        <f>Table1[[#This Row],[Federal Taxes Owed (Includes AMT)]]+Table1[[#This Row],[Obamacare surcharge premium]]</f>
        <v>60260</v>
      </c>
      <c r="AA599" s="9">
        <f>Table1[[#This Row],[taxable wages]]-Table1[[#This Row],[Federal Taxes Owed2]]</f>
        <v>220740</v>
      </c>
      <c r="AB599" s="51">
        <f t="shared" si="51"/>
        <v>0.35899999999999999</v>
      </c>
      <c r="AC599" s="41"/>
      <c r="AD599" s="13"/>
      <c r="AE599" s="13"/>
    </row>
    <row r="600" spans="2:31" x14ac:dyDescent="0.3">
      <c r="B600" s="41">
        <f t="shared" si="52"/>
        <v>281500</v>
      </c>
      <c r="C600" s="1">
        <f>Table1[[#This Row],[taxable wages]]</f>
        <v>281500</v>
      </c>
      <c r="D600" s="1">
        <f>Table1[[#This Row],[taxable wages]]+interest+dividends+short_term_capital_gains+long_term_capital_gains</f>
        <v>281500</v>
      </c>
      <c r="E600" s="1">
        <f>MAX(Table1[[#This Row],[earned income for EITC]:[Agi For Eitc Calc]])</f>
        <v>281500</v>
      </c>
      <c r="F600" s="1">
        <f>Table1[[#This Row],[taxable wages]]+interest+dividends+short_term_capital_gains+long_term_capital_gains-(trad_ira_contributions+MIN(student_loan_interest_cap,student_loan_interest))</f>
        <v>281500</v>
      </c>
      <c r="G600" s="1">
        <f t="shared" si="48"/>
        <v>12600</v>
      </c>
      <c r="H600" s="1">
        <f t="shared" si="49"/>
        <v>28350</v>
      </c>
      <c r="I600" s="1">
        <f>MAX(0,Table1[[#This Row],[Agi]]-Table1[[#This Row],[Exemptions]]-Table1[[#This Row],[Effective Deductions]])</f>
        <v>240550</v>
      </c>
      <c r="J6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54794.5</v>
      </c>
      <c r="K600" s="1">
        <f t="shared" si="50"/>
        <v>5000</v>
      </c>
      <c r="L600" s="1">
        <f>IF(Table1[[#This Row],[Agi]]&gt;ctc_phase_out_begins,ctc_phase_out_rate*(Table1[[#This Row],[Agi]]-ctc_phase_out_begins),0)</f>
        <v>8575</v>
      </c>
      <c r="M600" s="1">
        <f>MAX(Table1[[#This Row],[Child Tax Credit]]-Table1[[#This Row],[Child Tax Credit Phase Out]],0)</f>
        <v>0</v>
      </c>
      <c r="N600" s="1">
        <f>MAX(Table1[[#This Row],[Regular Taxes Owed]]-Table1[[#This Row],[Effective Child Tax Credit]],0)</f>
        <v>54794.5</v>
      </c>
      <c r="O600" s="1">
        <f>MAX(MIN((Table1[[#This Row],[taxable wages]]-3000)*0.15,1000*num_kids_16_younger),0)</f>
        <v>5000</v>
      </c>
      <c r="P600" s="9">
        <f>IF(Table1[[#This Row],[Effective Child Tax Credit]]&gt;Table1[[#This Row],[Regular Taxes Owed]],Table1[[#This Row],[Additional Child Tax Credit ]]-Table1[[#This Row],[Regular Taxes Owed]],0)</f>
        <v>0</v>
      </c>
      <c r="Q6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0" s="1">
        <f>Table1[[#This Row],[Effective Additional Child Tax Credit]]+Table1[[#This Row],[Eitc]]</f>
        <v>0</v>
      </c>
      <c r="S600" s="9">
        <f>Table1[[#This Row],[Regular Taxes Owed - Effective Child Tax Credit]]-Table1[[#This Row],[Total Credits]]</f>
        <v>54794.5</v>
      </c>
      <c r="T600" s="9">
        <f>Table1[[#This Row],[taxable wages]]+interest+dividends+short_term_capital_gains+long_term_capital_gains-(charitable_donations+mortgage_interest)</f>
        <v>281500</v>
      </c>
      <c r="U600" s="9">
        <f>MAX(amt_exemption-amt_exemption_phase_out_rate*MAX(Table1[[#This Row],[taxable wages]]-amt_phase_out_begins,0),0)</f>
        <v>53350</v>
      </c>
      <c r="V6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60156</v>
      </c>
      <c r="W600" s="1">
        <f>IF(AND(Table1[[#This Row],[AMT Taxes]]&gt;Table1[[#This Row],[Regular Taxes Owed]],Table1[[#This Row],[AMT Taxes]]&gt;0),Table1[[#This Row],[AMT Taxes]]-Table1[[#This Row],[Regular Taxes Owed]],0)</f>
        <v>5361.5</v>
      </c>
      <c r="X600" s="9">
        <f>Table1[[#This Row],[Extra Taxes From Amt]]+Table1[[#This Row],[Federal Taxes Owed (No AMT)]]</f>
        <v>60156</v>
      </c>
      <c r="Y600" s="9">
        <f>IF(Table1[[#This Row],[taxable wages]]&gt;obamacare_surcharge_amount,obamacare_surcharge_percent*(Table1[[#This Row],[taxable wages]]-obamacare_surcharge_amount),0)</f>
        <v>283.5</v>
      </c>
      <c r="Z600" s="9">
        <f>Table1[[#This Row],[Federal Taxes Owed (Includes AMT)]]+Table1[[#This Row],[Obamacare surcharge premium]]</f>
        <v>60439.5</v>
      </c>
      <c r="AA600" s="9">
        <f>Table1[[#This Row],[taxable wages]]-Table1[[#This Row],[Federal Taxes Owed2]]</f>
        <v>221060.5</v>
      </c>
      <c r="AB600" s="51">
        <f t="shared" si="51"/>
        <v>0.35899999999999999</v>
      </c>
      <c r="AC600" s="41"/>
      <c r="AD600" s="13"/>
      <c r="AE600" s="13"/>
    </row>
    <row r="601" spans="2:31" x14ac:dyDescent="0.3">
      <c r="B601" s="41">
        <f t="shared" si="52"/>
        <v>282000</v>
      </c>
      <c r="C601" s="1">
        <f>Table1[[#This Row],[taxable wages]]</f>
        <v>282000</v>
      </c>
      <c r="D601" s="1">
        <f>Table1[[#This Row],[taxable wages]]+interest+dividends+short_term_capital_gains+long_term_capital_gains</f>
        <v>282000</v>
      </c>
      <c r="E601" s="1">
        <f>MAX(Table1[[#This Row],[earned income for EITC]:[Agi For Eitc Calc]])</f>
        <v>282000</v>
      </c>
      <c r="F601" s="1">
        <f>Table1[[#This Row],[taxable wages]]+interest+dividends+short_term_capital_gains+long_term_capital_gains-(trad_ira_contributions+MIN(student_loan_interest_cap,student_loan_interest))</f>
        <v>282000</v>
      </c>
      <c r="G601" s="1">
        <f t="shared" si="48"/>
        <v>12600</v>
      </c>
      <c r="H601" s="1">
        <f t="shared" si="49"/>
        <v>28350</v>
      </c>
      <c r="I601" s="1">
        <f>MAX(0,Table1[[#This Row],[Agi]]-Table1[[#This Row],[Exemptions]]-Table1[[#This Row],[Effective Deductions]])</f>
        <v>241050</v>
      </c>
      <c r="J6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54959.5</v>
      </c>
      <c r="K601" s="1">
        <f t="shared" si="50"/>
        <v>5000</v>
      </c>
      <c r="L601" s="1">
        <f>IF(Table1[[#This Row],[Agi]]&gt;ctc_phase_out_begins,ctc_phase_out_rate*(Table1[[#This Row],[Agi]]-ctc_phase_out_begins),0)</f>
        <v>8600</v>
      </c>
      <c r="M601" s="1">
        <f>MAX(Table1[[#This Row],[Child Tax Credit]]-Table1[[#This Row],[Child Tax Credit Phase Out]],0)</f>
        <v>0</v>
      </c>
      <c r="N601" s="1">
        <f>MAX(Table1[[#This Row],[Regular Taxes Owed]]-Table1[[#This Row],[Effective Child Tax Credit]],0)</f>
        <v>54959.5</v>
      </c>
      <c r="O601" s="1">
        <f>MAX(MIN((Table1[[#This Row],[taxable wages]]-3000)*0.15,1000*num_kids_16_younger),0)</f>
        <v>5000</v>
      </c>
      <c r="P601" s="9">
        <f>IF(Table1[[#This Row],[Effective Child Tax Credit]]&gt;Table1[[#This Row],[Regular Taxes Owed]],Table1[[#This Row],[Additional Child Tax Credit ]]-Table1[[#This Row],[Regular Taxes Owed]],0)</f>
        <v>0</v>
      </c>
      <c r="Q6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1" s="1">
        <f>Table1[[#This Row],[Effective Additional Child Tax Credit]]+Table1[[#This Row],[Eitc]]</f>
        <v>0</v>
      </c>
      <c r="S601" s="9">
        <f>Table1[[#This Row],[Regular Taxes Owed - Effective Child Tax Credit]]-Table1[[#This Row],[Total Credits]]</f>
        <v>54959.5</v>
      </c>
      <c r="T601" s="9">
        <f>Table1[[#This Row],[taxable wages]]+interest+dividends+short_term_capital_gains+long_term_capital_gains-(charitable_donations+mortgage_interest)</f>
        <v>282000</v>
      </c>
      <c r="U601" s="9">
        <f>MAX(amt_exemption-amt_exemption_phase_out_rate*MAX(Table1[[#This Row],[taxable wages]]-amt_phase_out_begins,0),0)</f>
        <v>53225</v>
      </c>
      <c r="V6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60331</v>
      </c>
      <c r="W601" s="1">
        <f>IF(AND(Table1[[#This Row],[AMT Taxes]]&gt;Table1[[#This Row],[Regular Taxes Owed]],Table1[[#This Row],[AMT Taxes]]&gt;0),Table1[[#This Row],[AMT Taxes]]-Table1[[#This Row],[Regular Taxes Owed]],0)</f>
        <v>5371.5</v>
      </c>
      <c r="X601" s="9">
        <f>Table1[[#This Row],[Extra Taxes From Amt]]+Table1[[#This Row],[Federal Taxes Owed (No AMT)]]</f>
        <v>60331</v>
      </c>
      <c r="Y601" s="9">
        <f>IF(Table1[[#This Row],[taxable wages]]&gt;obamacare_surcharge_amount,obamacare_surcharge_percent*(Table1[[#This Row],[taxable wages]]-obamacare_surcharge_amount),0)</f>
        <v>288</v>
      </c>
      <c r="Z601" s="9">
        <f>Table1[[#This Row],[Federal Taxes Owed (Includes AMT)]]+Table1[[#This Row],[Obamacare surcharge premium]]</f>
        <v>60619</v>
      </c>
      <c r="AA601" s="9">
        <f>Table1[[#This Row],[taxable wages]]-Table1[[#This Row],[Federal Taxes Owed2]]</f>
        <v>221381</v>
      </c>
      <c r="AB601" s="51">
        <f t="shared" si="51"/>
        <v>0.35899999999999999</v>
      </c>
      <c r="AC601" s="41"/>
      <c r="AD601" s="13"/>
      <c r="AE601" s="13"/>
    </row>
    <row r="602" spans="2:31" x14ac:dyDescent="0.3">
      <c r="B602" s="41">
        <f t="shared" si="52"/>
        <v>282500</v>
      </c>
      <c r="C602" s="1">
        <f>Table1[[#This Row],[taxable wages]]</f>
        <v>282500</v>
      </c>
      <c r="D602" s="1">
        <f>Table1[[#This Row],[taxable wages]]+interest+dividends+short_term_capital_gains+long_term_capital_gains</f>
        <v>282500</v>
      </c>
      <c r="E602" s="1">
        <f>MAX(Table1[[#This Row],[earned income for EITC]:[Agi For Eitc Calc]])</f>
        <v>282500</v>
      </c>
      <c r="F602" s="1">
        <f>Table1[[#This Row],[taxable wages]]+interest+dividends+short_term_capital_gains+long_term_capital_gains-(trad_ira_contributions+MIN(student_loan_interest_cap,student_loan_interest))</f>
        <v>282500</v>
      </c>
      <c r="G602" s="1">
        <f t="shared" si="48"/>
        <v>12600</v>
      </c>
      <c r="H602" s="1">
        <f t="shared" si="49"/>
        <v>28350</v>
      </c>
      <c r="I602" s="1">
        <f>MAX(0,Table1[[#This Row],[Agi]]-Table1[[#This Row],[Exemptions]]-Table1[[#This Row],[Effective Deductions]])</f>
        <v>241550</v>
      </c>
      <c r="J6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55124.5</v>
      </c>
      <c r="K602" s="1">
        <f t="shared" si="50"/>
        <v>5000</v>
      </c>
      <c r="L602" s="1">
        <f>IF(Table1[[#This Row],[Agi]]&gt;ctc_phase_out_begins,ctc_phase_out_rate*(Table1[[#This Row],[Agi]]-ctc_phase_out_begins),0)</f>
        <v>8625</v>
      </c>
      <c r="M602" s="1">
        <f>MAX(Table1[[#This Row],[Child Tax Credit]]-Table1[[#This Row],[Child Tax Credit Phase Out]],0)</f>
        <v>0</v>
      </c>
      <c r="N602" s="1">
        <f>MAX(Table1[[#This Row],[Regular Taxes Owed]]-Table1[[#This Row],[Effective Child Tax Credit]],0)</f>
        <v>55124.5</v>
      </c>
      <c r="O602" s="1">
        <f>MAX(MIN((Table1[[#This Row],[taxable wages]]-3000)*0.15,1000*num_kids_16_younger),0)</f>
        <v>5000</v>
      </c>
      <c r="P602" s="9">
        <f>IF(Table1[[#This Row],[Effective Child Tax Credit]]&gt;Table1[[#This Row],[Regular Taxes Owed]],Table1[[#This Row],[Additional Child Tax Credit ]]-Table1[[#This Row],[Regular Taxes Owed]],0)</f>
        <v>0</v>
      </c>
      <c r="Q6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2" s="1">
        <f>Table1[[#This Row],[Effective Additional Child Tax Credit]]+Table1[[#This Row],[Eitc]]</f>
        <v>0</v>
      </c>
      <c r="S602" s="9">
        <f>Table1[[#This Row],[Regular Taxes Owed - Effective Child Tax Credit]]-Table1[[#This Row],[Total Credits]]</f>
        <v>55124.5</v>
      </c>
      <c r="T602" s="9">
        <f>Table1[[#This Row],[taxable wages]]+interest+dividends+short_term_capital_gains+long_term_capital_gains-(charitable_donations+mortgage_interest)</f>
        <v>282500</v>
      </c>
      <c r="U602" s="9">
        <f>MAX(amt_exemption-amt_exemption_phase_out_rate*MAX(Table1[[#This Row],[taxable wages]]-amt_phase_out_begins,0),0)</f>
        <v>53100</v>
      </c>
      <c r="V6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60506</v>
      </c>
      <c r="W602" s="1">
        <f>IF(AND(Table1[[#This Row],[AMT Taxes]]&gt;Table1[[#This Row],[Regular Taxes Owed]],Table1[[#This Row],[AMT Taxes]]&gt;0),Table1[[#This Row],[AMT Taxes]]-Table1[[#This Row],[Regular Taxes Owed]],0)</f>
        <v>5381.5</v>
      </c>
      <c r="X602" s="9">
        <f>Table1[[#This Row],[Extra Taxes From Amt]]+Table1[[#This Row],[Federal Taxes Owed (No AMT)]]</f>
        <v>60506</v>
      </c>
      <c r="Y602" s="9">
        <f>IF(Table1[[#This Row],[taxable wages]]&gt;obamacare_surcharge_amount,obamacare_surcharge_percent*(Table1[[#This Row],[taxable wages]]-obamacare_surcharge_amount),0)</f>
        <v>292.5</v>
      </c>
      <c r="Z602" s="9">
        <f>Table1[[#This Row],[Federal Taxes Owed (Includes AMT)]]+Table1[[#This Row],[Obamacare surcharge premium]]</f>
        <v>60798.5</v>
      </c>
      <c r="AA602" s="9">
        <f>Table1[[#This Row],[taxable wages]]-Table1[[#This Row],[Federal Taxes Owed2]]</f>
        <v>221701.5</v>
      </c>
      <c r="AB602" s="51">
        <f t="shared" si="51"/>
        <v>0.35899999999999999</v>
      </c>
      <c r="AC602" s="41"/>
      <c r="AD602" s="13"/>
      <c r="AE602" s="13"/>
    </row>
    <row r="603" spans="2:31" x14ac:dyDescent="0.3">
      <c r="B603" s="41">
        <f t="shared" si="52"/>
        <v>283000</v>
      </c>
      <c r="C603" s="1">
        <f>Table1[[#This Row],[taxable wages]]</f>
        <v>283000</v>
      </c>
      <c r="D603" s="1">
        <f>Table1[[#This Row],[taxable wages]]+interest+dividends+short_term_capital_gains+long_term_capital_gains</f>
        <v>283000</v>
      </c>
      <c r="E603" s="1">
        <f>MAX(Table1[[#This Row],[earned income for EITC]:[Agi For Eitc Calc]])</f>
        <v>283000</v>
      </c>
      <c r="F603" s="1">
        <f>Table1[[#This Row],[taxable wages]]+interest+dividends+short_term_capital_gains+long_term_capital_gains-(trad_ira_contributions+MIN(student_loan_interest_cap,student_loan_interest))</f>
        <v>283000</v>
      </c>
      <c r="G603" s="1">
        <f t="shared" si="48"/>
        <v>12600</v>
      </c>
      <c r="H603" s="1">
        <f t="shared" si="49"/>
        <v>28350</v>
      </c>
      <c r="I603" s="1">
        <f>MAX(0,Table1[[#This Row],[Agi]]-Table1[[#This Row],[Exemptions]]-Table1[[#This Row],[Effective Deductions]])</f>
        <v>242050</v>
      </c>
      <c r="J6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55289.5</v>
      </c>
      <c r="K603" s="1">
        <f t="shared" si="50"/>
        <v>5000</v>
      </c>
      <c r="L603" s="1">
        <f>IF(Table1[[#This Row],[Agi]]&gt;ctc_phase_out_begins,ctc_phase_out_rate*(Table1[[#This Row],[Agi]]-ctc_phase_out_begins),0)</f>
        <v>8650</v>
      </c>
      <c r="M603" s="1">
        <f>MAX(Table1[[#This Row],[Child Tax Credit]]-Table1[[#This Row],[Child Tax Credit Phase Out]],0)</f>
        <v>0</v>
      </c>
      <c r="N603" s="1">
        <f>MAX(Table1[[#This Row],[Regular Taxes Owed]]-Table1[[#This Row],[Effective Child Tax Credit]],0)</f>
        <v>55289.5</v>
      </c>
      <c r="O603" s="1">
        <f>MAX(MIN((Table1[[#This Row],[taxable wages]]-3000)*0.15,1000*num_kids_16_younger),0)</f>
        <v>5000</v>
      </c>
      <c r="P603" s="9">
        <f>IF(Table1[[#This Row],[Effective Child Tax Credit]]&gt;Table1[[#This Row],[Regular Taxes Owed]],Table1[[#This Row],[Additional Child Tax Credit ]]-Table1[[#This Row],[Regular Taxes Owed]],0)</f>
        <v>0</v>
      </c>
      <c r="Q6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3" s="1">
        <f>Table1[[#This Row],[Effective Additional Child Tax Credit]]+Table1[[#This Row],[Eitc]]</f>
        <v>0</v>
      </c>
      <c r="S603" s="9">
        <f>Table1[[#This Row],[Regular Taxes Owed - Effective Child Tax Credit]]-Table1[[#This Row],[Total Credits]]</f>
        <v>55289.5</v>
      </c>
      <c r="T603" s="9">
        <f>Table1[[#This Row],[taxable wages]]+interest+dividends+short_term_capital_gains+long_term_capital_gains-(charitable_donations+mortgage_interest)</f>
        <v>283000</v>
      </c>
      <c r="U603" s="9">
        <f>MAX(amt_exemption-amt_exemption_phase_out_rate*MAX(Table1[[#This Row],[taxable wages]]-amt_phase_out_begins,0),0)</f>
        <v>52975</v>
      </c>
      <c r="V6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60681</v>
      </c>
      <c r="W603" s="1">
        <f>IF(AND(Table1[[#This Row],[AMT Taxes]]&gt;Table1[[#This Row],[Regular Taxes Owed]],Table1[[#This Row],[AMT Taxes]]&gt;0),Table1[[#This Row],[AMT Taxes]]-Table1[[#This Row],[Regular Taxes Owed]],0)</f>
        <v>5391.5</v>
      </c>
      <c r="X603" s="9">
        <f>Table1[[#This Row],[Extra Taxes From Amt]]+Table1[[#This Row],[Federal Taxes Owed (No AMT)]]</f>
        <v>60681</v>
      </c>
      <c r="Y603" s="9">
        <f>IF(Table1[[#This Row],[taxable wages]]&gt;obamacare_surcharge_amount,obamacare_surcharge_percent*(Table1[[#This Row],[taxable wages]]-obamacare_surcharge_amount),0)</f>
        <v>297</v>
      </c>
      <c r="Z603" s="9">
        <f>Table1[[#This Row],[Federal Taxes Owed (Includes AMT)]]+Table1[[#This Row],[Obamacare surcharge premium]]</f>
        <v>60978</v>
      </c>
      <c r="AA603" s="9">
        <f>Table1[[#This Row],[taxable wages]]-Table1[[#This Row],[Federal Taxes Owed2]]</f>
        <v>222022</v>
      </c>
      <c r="AB603" s="51">
        <f t="shared" si="51"/>
        <v>0.35899999999999999</v>
      </c>
      <c r="AC603" s="41"/>
      <c r="AD603" s="13"/>
      <c r="AE603" s="13"/>
    </row>
    <row r="604" spans="2:31" x14ac:dyDescent="0.3">
      <c r="B604" s="41">
        <f t="shared" si="52"/>
        <v>283500</v>
      </c>
      <c r="C604" s="1">
        <f>Table1[[#This Row],[taxable wages]]</f>
        <v>283500</v>
      </c>
      <c r="D604" s="1">
        <f>Table1[[#This Row],[taxable wages]]+interest+dividends+short_term_capital_gains+long_term_capital_gains</f>
        <v>283500</v>
      </c>
      <c r="E604" s="1">
        <f>MAX(Table1[[#This Row],[earned income for EITC]:[Agi For Eitc Calc]])</f>
        <v>283500</v>
      </c>
      <c r="F604" s="1">
        <f>Table1[[#This Row],[taxable wages]]+interest+dividends+short_term_capital_gains+long_term_capital_gains-(trad_ira_contributions+MIN(student_loan_interest_cap,student_loan_interest))</f>
        <v>283500</v>
      </c>
      <c r="G604" s="1">
        <f t="shared" si="48"/>
        <v>12600</v>
      </c>
      <c r="H604" s="1">
        <f t="shared" si="49"/>
        <v>28350</v>
      </c>
      <c r="I604" s="1">
        <f>MAX(0,Table1[[#This Row],[Agi]]-Table1[[#This Row],[Exemptions]]-Table1[[#This Row],[Effective Deductions]])</f>
        <v>242550</v>
      </c>
      <c r="J6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55454.5</v>
      </c>
      <c r="K604" s="1">
        <f t="shared" si="50"/>
        <v>5000</v>
      </c>
      <c r="L604" s="1">
        <f>IF(Table1[[#This Row],[Agi]]&gt;ctc_phase_out_begins,ctc_phase_out_rate*(Table1[[#This Row],[Agi]]-ctc_phase_out_begins),0)</f>
        <v>8675</v>
      </c>
      <c r="M604" s="1">
        <f>MAX(Table1[[#This Row],[Child Tax Credit]]-Table1[[#This Row],[Child Tax Credit Phase Out]],0)</f>
        <v>0</v>
      </c>
      <c r="N604" s="1">
        <f>MAX(Table1[[#This Row],[Regular Taxes Owed]]-Table1[[#This Row],[Effective Child Tax Credit]],0)</f>
        <v>55454.5</v>
      </c>
      <c r="O604" s="1">
        <f>MAX(MIN((Table1[[#This Row],[taxable wages]]-3000)*0.15,1000*num_kids_16_younger),0)</f>
        <v>5000</v>
      </c>
      <c r="P604" s="9">
        <f>IF(Table1[[#This Row],[Effective Child Tax Credit]]&gt;Table1[[#This Row],[Regular Taxes Owed]],Table1[[#This Row],[Additional Child Tax Credit ]]-Table1[[#This Row],[Regular Taxes Owed]],0)</f>
        <v>0</v>
      </c>
      <c r="Q6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4" s="1">
        <f>Table1[[#This Row],[Effective Additional Child Tax Credit]]+Table1[[#This Row],[Eitc]]</f>
        <v>0</v>
      </c>
      <c r="S604" s="9">
        <f>Table1[[#This Row],[Regular Taxes Owed - Effective Child Tax Credit]]-Table1[[#This Row],[Total Credits]]</f>
        <v>55454.5</v>
      </c>
      <c r="T604" s="9">
        <f>Table1[[#This Row],[taxable wages]]+interest+dividends+short_term_capital_gains+long_term_capital_gains-(charitable_donations+mortgage_interest)</f>
        <v>283500</v>
      </c>
      <c r="U604" s="9">
        <f>MAX(amt_exemption-amt_exemption_phase_out_rate*MAX(Table1[[#This Row],[taxable wages]]-amt_phase_out_begins,0),0)</f>
        <v>52850</v>
      </c>
      <c r="V6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60856</v>
      </c>
      <c r="W604" s="1">
        <f>IF(AND(Table1[[#This Row],[AMT Taxes]]&gt;Table1[[#This Row],[Regular Taxes Owed]],Table1[[#This Row],[AMT Taxes]]&gt;0),Table1[[#This Row],[AMT Taxes]]-Table1[[#This Row],[Regular Taxes Owed]],0)</f>
        <v>5401.5</v>
      </c>
      <c r="X604" s="9">
        <f>Table1[[#This Row],[Extra Taxes From Amt]]+Table1[[#This Row],[Federal Taxes Owed (No AMT)]]</f>
        <v>60856</v>
      </c>
      <c r="Y604" s="9">
        <f>IF(Table1[[#This Row],[taxable wages]]&gt;obamacare_surcharge_amount,obamacare_surcharge_percent*(Table1[[#This Row],[taxable wages]]-obamacare_surcharge_amount),0)</f>
        <v>301.5</v>
      </c>
      <c r="Z604" s="9">
        <f>Table1[[#This Row],[Federal Taxes Owed (Includes AMT)]]+Table1[[#This Row],[Obamacare surcharge premium]]</f>
        <v>61157.5</v>
      </c>
      <c r="AA604" s="9">
        <f>Table1[[#This Row],[taxable wages]]-Table1[[#This Row],[Federal Taxes Owed2]]</f>
        <v>222342.5</v>
      </c>
      <c r="AB604" s="51">
        <f t="shared" si="51"/>
        <v>0.35899999999999999</v>
      </c>
      <c r="AC604" s="41"/>
      <c r="AD604" s="13"/>
      <c r="AE604" s="13"/>
    </row>
    <row r="605" spans="2:31" x14ac:dyDescent="0.3">
      <c r="B605" s="41">
        <f t="shared" si="52"/>
        <v>284000</v>
      </c>
      <c r="C605" s="1">
        <f>Table1[[#This Row],[taxable wages]]</f>
        <v>284000</v>
      </c>
      <c r="D605" s="1">
        <f>Table1[[#This Row],[taxable wages]]+interest+dividends+short_term_capital_gains+long_term_capital_gains</f>
        <v>284000</v>
      </c>
      <c r="E605" s="1">
        <f>MAX(Table1[[#This Row],[earned income for EITC]:[Agi For Eitc Calc]])</f>
        <v>284000</v>
      </c>
      <c r="F605" s="1">
        <f>Table1[[#This Row],[taxable wages]]+interest+dividends+short_term_capital_gains+long_term_capital_gains-(trad_ira_contributions+MIN(student_loan_interest_cap,student_loan_interest))</f>
        <v>284000</v>
      </c>
      <c r="G605" s="1">
        <f t="shared" si="48"/>
        <v>12600</v>
      </c>
      <c r="H605" s="1">
        <f t="shared" si="49"/>
        <v>28350</v>
      </c>
      <c r="I605" s="1">
        <f>MAX(0,Table1[[#This Row],[Agi]]-Table1[[#This Row],[Exemptions]]-Table1[[#This Row],[Effective Deductions]])</f>
        <v>243050</v>
      </c>
      <c r="J6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55619.5</v>
      </c>
      <c r="K605" s="1">
        <f t="shared" si="50"/>
        <v>5000</v>
      </c>
      <c r="L605" s="1">
        <f>IF(Table1[[#This Row],[Agi]]&gt;ctc_phase_out_begins,ctc_phase_out_rate*(Table1[[#This Row],[Agi]]-ctc_phase_out_begins),0)</f>
        <v>8700</v>
      </c>
      <c r="M605" s="1">
        <f>MAX(Table1[[#This Row],[Child Tax Credit]]-Table1[[#This Row],[Child Tax Credit Phase Out]],0)</f>
        <v>0</v>
      </c>
      <c r="N605" s="1">
        <f>MAX(Table1[[#This Row],[Regular Taxes Owed]]-Table1[[#This Row],[Effective Child Tax Credit]],0)</f>
        <v>55619.5</v>
      </c>
      <c r="O605" s="1">
        <f>MAX(MIN((Table1[[#This Row],[taxable wages]]-3000)*0.15,1000*num_kids_16_younger),0)</f>
        <v>5000</v>
      </c>
      <c r="P605" s="9">
        <f>IF(Table1[[#This Row],[Effective Child Tax Credit]]&gt;Table1[[#This Row],[Regular Taxes Owed]],Table1[[#This Row],[Additional Child Tax Credit ]]-Table1[[#This Row],[Regular Taxes Owed]],0)</f>
        <v>0</v>
      </c>
      <c r="Q6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5" s="1">
        <f>Table1[[#This Row],[Effective Additional Child Tax Credit]]+Table1[[#This Row],[Eitc]]</f>
        <v>0</v>
      </c>
      <c r="S605" s="9">
        <f>Table1[[#This Row],[Regular Taxes Owed - Effective Child Tax Credit]]-Table1[[#This Row],[Total Credits]]</f>
        <v>55619.5</v>
      </c>
      <c r="T605" s="9">
        <f>Table1[[#This Row],[taxable wages]]+interest+dividends+short_term_capital_gains+long_term_capital_gains-(charitable_donations+mortgage_interest)</f>
        <v>284000</v>
      </c>
      <c r="U605" s="9">
        <f>MAX(amt_exemption-amt_exemption_phase_out_rate*MAX(Table1[[#This Row],[taxable wages]]-amt_phase_out_begins,0),0)</f>
        <v>52725</v>
      </c>
      <c r="V6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61031</v>
      </c>
      <c r="W605" s="1">
        <f>IF(AND(Table1[[#This Row],[AMT Taxes]]&gt;Table1[[#This Row],[Regular Taxes Owed]],Table1[[#This Row],[AMT Taxes]]&gt;0),Table1[[#This Row],[AMT Taxes]]-Table1[[#This Row],[Regular Taxes Owed]],0)</f>
        <v>5411.5</v>
      </c>
      <c r="X605" s="9">
        <f>Table1[[#This Row],[Extra Taxes From Amt]]+Table1[[#This Row],[Federal Taxes Owed (No AMT)]]</f>
        <v>61031</v>
      </c>
      <c r="Y605" s="9">
        <f>IF(Table1[[#This Row],[taxable wages]]&gt;obamacare_surcharge_amount,obamacare_surcharge_percent*(Table1[[#This Row],[taxable wages]]-obamacare_surcharge_amount),0)</f>
        <v>306</v>
      </c>
      <c r="Z605" s="9">
        <f>Table1[[#This Row],[Federal Taxes Owed (Includes AMT)]]+Table1[[#This Row],[Obamacare surcharge premium]]</f>
        <v>61337</v>
      </c>
      <c r="AA605" s="9">
        <f>Table1[[#This Row],[taxable wages]]-Table1[[#This Row],[Federal Taxes Owed2]]</f>
        <v>222663</v>
      </c>
      <c r="AB605" s="51">
        <f t="shared" si="51"/>
        <v>0.35899999999999999</v>
      </c>
      <c r="AC605" s="41"/>
      <c r="AD605" s="13"/>
      <c r="AE605" s="13"/>
    </row>
    <row r="606" spans="2:31" x14ac:dyDescent="0.3">
      <c r="B606" s="41">
        <f t="shared" si="52"/>
        <v>284500</v>
      </c>
      <c r="C606" s="1">
        <f>Table1[[#This Row],[taxable wages]]</f>
        <v>284500</v>
      </c>
      <c r="D606" s="1">
        <f>Table1[[#This Row],[taxable wages]]+interest+dividends+short_term_capital_gains+long_term_capital_gains</f>
        <v>284500</v>
      </c>
      <c r="E606" s="1">
        <f>MAX(Table1[[#This Row],[earned income for EITC]:[Agi For Eitc Calc]])</f>
        <v>284500</v>
      </c>
      <c r="F606" s="1">
        <f>Table1[[#This Row],[taxable wages]]+interest+dividends+short_term_capital_gains+long_term_capital_gains-(trad_ira_contributions+MIN(student_loan_interest_cap,student_loan_interest))</f>
        <v>284500</v>
      </c>
      <c r="G606" s="1">
        <f t="shared" si="48"/>
        <v>12600</v>
      </c>
      <c r="H606" s="1">
        <f t="shared" si="49"/>
        <v>28350</v>
      </c>
      <c r="I606" s="1">
        <f>MAX(0,Table1[[#This Row],[Agi]]-Table1[[#This Row],[Exemptions]]-Table1[[#This Row],[Effective Deductions]])</f>
        <v>243550</v>
      </c>
      <c r="J6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55784.5</v>
      </c>
      <c r="K606" s="1">
        <f t="shared" si="50"/>
        <v>5000</v>
      </c>
      <c r="L606" s="1">
        <f>IF(Table1[[#This Row],[Agi]]&gt;ctc_phase_out_begins,ctc_phase_out_rate*(Table1[[#This Row],[Agi]]-ctc_phase_out_begins),0)</f>
        <v>8725</v>
      </c>
      <c r="M606" s="1">
        <f>MAX(Table1[[#This Row],[Child Tax Credit]]-Table1[[#This Row],[Child Tax Credit Phase Out]],0)</f>
        <v>0</v>
      </c>
      <c r="N606" s="1">
        <f>MAX(Table1[[#This Row],[Regular Taxes Owed]]-Table1[[#This Row],[Effective Child Tax Credit]],0)</f>
        <v>55784.5</v>
      </c>
      <c r="O606" s="1">
        <f>MAX(MIN((Table1[[#This Row],[taxable wages]]-3000)*0.15,1000*num_kids_16_younger),0)</f>
        <v>5000</v>
      </c>
      <c r="P606" s="9">
        <f>IF(Table1[[#This Row],[Effective Child Tax Credit]]&gt;Table1[[#This Row],[Regular Taxes Owed]],Table1[[#This Row],[Additional Child Tax Credit ]]-Table1[[#This Row],[Regular Taxes Owed]],0)</f>
        <v>0</v>
      </c>
      <c r="Q6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6" s="1">
        <f>Table1[[#This Row],[Effective Additional Child Tax Credit]]+Table1[[#This Row],[Eitc]]</f>
        <v>0</v>
      </c>
      <c r="S606" s="9">
        <f>Table1[[#This Row],[Regular Taxes Owed - Effective Child Tax Credit]]-Table1[[#This Row],[Total Credits]]</f>
        <v>55784.5</v>
      </c>
      <c r="T606" s="9">
        <f>Table1[[#This Row],[taxable wages]]+interest+dividends+short_term_capital_gains+long_term_capital_gains-(charitable_donations+mortgage_interest)</f>
        <v>284500</v>
      </c>
      <c r="U606" s="9">
        <f>MAX(amt_exemption-amt_exemption_phase_out_rate*MAX(Table1[[#This Row],[taxable wages]]-amt_phase_out_begins,0),0)</f>
        <v>52600</v>
      </c>
      <c r="V6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61206</v>
      </c>
      <c r="W606" s="1">
        <f>IF(AND(Table1[[#This Row],[AMT Taxes]]&gt;Table1[[#This Row],[Regular Taxes Owed]],Table1[[#This Row],[AMT Taxes]]&gt;0),Table1[[#This Row],[AMT Taxes]]-Table1[[#This Row],[Regular Taxes Owed]],0)</f>
        <v>5421.5</v>
      </c>
      <c r="X606" s="9">
        <f>Table1[[#This Row],[Extra Taxes From Amt]]+Table1[[#This Row],[Federal Taxes Owed (No AMT)]]</f>
        <v>61206</v>
      </c>
      <c r="Y606" s="9">
        <f>IF(Table1[[#This Row],[taxable wages]]&gt;obamacare_surcharge_amount,obamacare_surcharge_percent*(Table1[[#This Row],[taxable wages]]-obamacare_surcharge_amount),0)</f>
        <v>310.5</v>
      </c>
      <c r="Z606" s="9">
        <f>Table1[[#This Row],[Federal Taxes Owed (Includes AMT)]]+Table1[[#This Row],[Obamacare surcharge premium]]</f>
        <v>61516.5</v>
      </c>
      <c r="AA606" s="9">
        <f>Table1[[#This Row],[taxable wages]]-Table1[[#This Row],[Federal Taxes Owed2]]</f>
        <v>222983.5</v>
      </c>
      <c r="AB606" s="51">
        <f t="shared" si="51"/>
        <v>0.35899999999999999</v>
      </c>
      <c r="AC606" s="41"/>
      <c r="AD606" s="13"/>
      <c r="AE606" s="13"/>
    </row>
    <row r="607" spans="2:31" x14ac:dyDescent="0.3">
      <c r="B607" s="41">
        <f t="shared" si="52"/>
        <v>285000</v>
      </c>
      <c r="C607" s="1">
        <f>Table1[[#This Row],[taxable wages]]</f>
        <v>285000</v>
      </c>
      <c r="D607" s="1">
        <f>Table1[[#This Row],[taxable wages]]+interest+dividends+short_term_capital_gains+long_term_capital_gains</f>
        <v>285000</v>
      </c>
      <c r="E607" s="1">
        <f>MAX(Table1[[#This Row],[earned income for EITC]:[Agi For Eitc Calc]])</f>
        <v>285000</v>
      </c>
      <c r="F607" s="1">
        <f>Table1[[#This Row],[taxable wages]]+interest+dividends+short_term_capital_gains+long_term_capital_gains-(trad_ira_contributions+MIN(student_loan_interest_cap,student_loan_interest))</f>
        <v>285000</v>
      </c>
      <c r="G607" s="1">
        <f t="shared" si="48"/>
        <v>12600</v>
      </c>
      <c r="H607" s="1">
        <f t="shared" si="49"/>
        <v>28350</v>
      </c>
      <c r="I607" s="1">
        <f>MAX(0,Table1[[#This Row],[Agi]]-Table1[[#This Row],[Exemptions]]-Table1[[#This Row],[Effective Deductions]])</f>
        <v>244050</v>
      </c>
      <c r="J6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55949.5</v>
      </c>
      <c r="K607" s="1">
        <f t="shared" si="50"/>
        <v>5000</v>
      </c>
      <c r="L607" s="1">
        <f>IF(Table1[[#This Row],[Agi]]&gt;ctc_phase_out_begins,ctc_phase_out_rate*(Table1[[#This Row],[Agi]]-ctc_phase_out_begins),0)</f>
        <v>8750</v>
      </c>
      <c r="M607" s="1">
        <f>MAX(Table1[[#This Row],[Child Tax Credit]]-Table1[[#This Row],[Child Tax Credit Phase Out]],0)</f>
        <v>0</v>
      </c>
      <c r="N607" s="1">
        <f>MAX(Table1[[#This Row],[Regular Taxes Owed]]-Table1[[#This Row],[Effective Child Tax Credit]],0)</f>
        <v>55949.5</v>
      </c>
      <c r="O607" s="1">
        <f>MAX(MIN((Table1[[#This Row],[taxable wages]]-3000)*0.15,1000*num_kids_16_younger),0)</f>
        <v>5000</v>
      </c>
      <c r="P607" s="9">
        <f>IF(Table1[[#This Row],[Effective Child Tax Credit]]&gt;Table1[[#This Row],[Regular Taxes Owed]],Table1[[#This Row],[Additional Child Tax Credit ]]-Table1[[#This Row],[Regular Taxes Owed]],0)</f>
        <v>0</v>
      </c>
      <c r="Q6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7" s="1">
        <f>Table1[[#This Row],[Effective Additional Child Tax Credit]]+Table1[[#This Row],[Eitc]]</f>
        <v>0</v>
      </c>
      <c r="S607" s="9">
        <f>Table1[[#This Row],[Regular Taxes Owed - Effective Child Tax Credit]]-Table1[[#This Row],[Total Credits]]</f>
        <v>55949.5</v>
      </c>
      <c r="T607" s="9">
        <f>Table1[[#This Row],[taxable wages]]+interest+dividends+short_term_capital_gains+long_term_capital_gains-(charitable_donations+mortgage_interest)</f>
        <v>285000</v>
      </c>
      <c r="U607" s="9">
        <f>MAX(amt_exemption-amt_exemption_phase_out_rate*MAX(Table1[[#This Row],[taxable wages]]-amt_phase_out_begins,0),0)</f>
        <v>52475</v>
      </c>
      <c r="V6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61381</v>
      </c>
      <c r="W607" s="1">
        <f>IF(AND(Table1[[#This Row],[AMT Taxes]]&gt;Table1[[#This Row],[Regular Taxes Owed]],Table1[[#This Row],[AMT Taxes]]&gt;0),Table1[[#This Row],[AMT Taxes]]-Table1[[#This Row],[Regular Taxes Owed]],0)</f>
        <v>5431.5</v>
      </c>
      <c r="X607" s="9">
        <f>Table1[[#This Row],[Extra Taxes From Amt]]+Table1[[#This Row],[Federal Taxes Owed (No AMT)]]</f>
        <v>61381</v>
      </c>
      <c r="Y607" s="9">
        <f>IF(Table1[[#This Row],[taxable wages]]&gt;obamacare_surcharge_amount,obamacare_surcharge_percent*(Table1[[#This Row],[taxable wages]]-obamacare_surcharge_amount),0)</f>
        <v>315</v>
      </c>
      <c r="Z607" s="9">
        <f>Table1[[#This Row],[Federal Taxes Owed (Includes AMT)]]+Table1[[#This Row],[Obamacare surcharge premium]]</f>
        <v>61696</v>
      </c>
      <c r="AA607" s="9">
        <f>Table1[[#This Row],[taxable wages]]-Table1[[#This Row],[Federal Taxes Owed2]]</f>
        <v>223304</v>
      </c>
      <c r="AB607" s="51">
        <f t="shared" si="51"/>
        <v>0.35899999999999999</v>
      </c>
      <c r="AC607" s="41"/>
      <c r="AD607" s="13"/>
      <c r="AE607" s="13"/>
    </row>
    <row r="608" spans="2:31" x14ac:dyDescent="0.3">
      <c r="B608" s="41">
        <f t="shared" si="52"/>
        <v>285500</v>
      </c>
      <c r="C608" s="1">
        <f>Table1[[#This Row],[taxable wages]]</f>
        <v>285500</v>
      </c>
      <c r="D608" s="1">
        <f>Table1[[#This Row],[taxable wages]]+interest+dividends+short_term_capital_gains+long_term_capital_gains</f>
        <v>285500</v>
      </c>
      <c r="E608" s="1">
        <f>MAX(Table1[[#This Row],[earned income for EITC]:[Agi For Eitc Calc]])</f>
        <v>285500</v>
      </c>
      <c r="F608" s="1">
        <f>Table1[[#This Row],[taxable wages]]+interest+dividends+short_term_capital_gains+long_term_capital_gains-(trad_ira_contributions+MIN(student_loan_interest_cap,student_loan_interest))</f>
        <v>285500</v>
      </c>
      <c r="G608" s="1">
        <f t="shared" si="48"/>
        <v>12600</v>
      </c>
      <c r="H608" s="1">
        <f t="shared" si="49"/>
        <v>28350</v>
      </c>
      <c r="I608" s="1">
        <f>MAX(0,Table1[[#This Row],[Agi]]-Table1[[#This Row],[Exemptions]]-Table1[[#This Row],[Effective Deductions]])</f>
        <v>244550</v>
      </c>
      <c r="J6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56114.5</v>
      </c>
      <c r="K608" s="1">
        <f t="shared" si="50"/>
        <v>5000</v>
      </c>
      <c r="L608" s="1">
        <f>IF(Table1[[#This Row],[Agi]]&gt;ctc_phase_out_begins,ctc_phase_out_rate*(Table1[[#This Row],[Agi]]-ctc_phase_out_begins),0)</f>
        <v>8775</v>
      </c>
      <c r="M608" s="1">
        <f>MAX(Table1[[#This Row],[Child Tax Credit]]-Table1[[#This Row],[Child Tax Credit Phase Out]],0)</f>
        <v>0</v>
      </c>
      <c r="N608" s="1">
        <f>MAX(Table1[[#This Row],[Regular Taxes Owed]]-Table1[[#This Row],[Effective Child Tax Credit]],0)</f>
        <v>56114.5</v>
      </c>
      <c r="O608" s="1">
        <f>MAX(MIN((Table1[[#This Row],[taxable wages]]-3000)*0.15,1000*num_kids_16_younger),0)</f>
        <v>5000</v>
      </c>
      <c r="P608" s="9">
        <f>IF(Table1[[#This Row],[Effective Child Tax Credit]]&gt;Table1[[#This Row],[Regular Taxes Owed]],Table1[[#This Row],[Additional Child Tax Credit ]]-Table1[[#This Row],[Regular Taxes Owed]],0)</f>
        <v>0</v>
      </c>
      <c r="Q6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8" s="1">
        <f>Table1[[#This Row],[Effective Additional Child Tax Credit]]+Table1[[#This Row],[Eitc]]</f>
        <v>0</v>
      </c>
      <c r="S608" s="9">
        <f>Table1[[#This Row],[Regular Taxes Owed - Effective Child Tax Credit]]-Table1[[#This Row],[Total Credits]]</f>
        <v>56114.5</v>
      </c>
      <c r="T608" s="9">
        <f>Table1[[#This Row],[taxable wages]]+interest+dividends+short_term_capital_gains+long_term_capital_gains-(charitable_donations+mortgage_interest)</f>
        <v>285500</v>
      </c>
      <c r="U608" s="9">
        <f>MAX(amt_exemption-amt_exemption_phase_out_rate*MAX(Table1[[#This Row],[taxable wages]]-amt_phase_out_begins,0),0)</f>
        <v>52350</v>
      </c>
      <c r="V6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61556</v>
      </c>
      <c r="W608" s="1">
        <f>IF(AND(Table1[[#This Row],[AMT Taxes]]&gt;Table1[[#This Row],[Regular Taxes Owed]],Table1[[#This Row],[AMT Taxes]]&gt;0),Table1[[#This Row],[AMT Taxes]]-Table1[[#This Row],[Regular Taxes Owed]],0)</f>
        <v>5441.5</v>
      </c>
      <c r="X608" s="9">
        <f>Table1[[#This Row],[Extra Taxes From Amt]]+Table1[[#This Row],[Federal Taxes Owed (No AMT)]]</f>
        <v>61556</v>
      </c>
      <c r="Y608" s="9">
        <f>IF(Table1[[#This Row],[taxable wages]]&gt;obamacare_surcharge_amount,obamacare_surcharge_percent*(Table1[[#This Row],[taxable wages]]-obamacare_surcharge_amount),0)</f>
        <v>319.5</v>
      </c>
      <c r="Z608" s="9">
        <f>Table1[[#This Row],[Federal Taxes Owed (Includes AMT)]]+Table1[[#This Row],[Obamacare surcharge premium]]</f>
        <v>61875.5</v>
      </c>
      <c r="AA608" s="9">
        <f>Table1[[#This Row],[taxable wages]]-Table1[[#This Row],[Federal Taxes Owed2]]</f>
        <v>223624.5</v>
      </c>
      <c r="AB608" s="51">
        <f t="shared" si="51"/>
        <v>0.35899999999999999</v>
      </c>
      <c r="AC608" s="41"/>
      <c r="AD608" s="13"/>
      <c r="AE608" s="13"/>
    </row>
    <row r="609" spans="2:31" x14ac:dyDescent="0.3">
      <c r="B609" s="41">
        <f t="shared" si="52"/>
        <v>286000</v>
      </c>
      <c r="C609" s="1">
        <f>Table1[[#This Row],[taxable wages]]</f>
        <v>286000</v>
      </c>
      <c r="D609" s="1">
        <f>Table1[[#This Row],[taxable wages]]+interest+dividends+short_term_capital_gains+long_term_capital_gains</f>
        <v>286000</v>
      </c>
      <c r="E609" s="1">
        <f>MAX(Table1[[#This Row],[earned income for EITC]:[Agi For Eitc Calc]])</f>
        <v>286000</v>
      </c>
      <c r="F609" s="1">
        <f>Table1[[#This Row],[taxable wages]]+interest+dividends+short_term_capital_gains+long_term_capital_gains-(trad_ira_contributions+MIN(student_loan_interest_cap,student_loan_interest))</f>
        <v>286000</v>
      </c>
      <c r="G609" s="1">
        <f t="shared" si="48"/>
        <v>12600</v>
      </c>
      <c r="H609" s="1">
        <f t="shared" si="49"/>
        <v>28350</v>
      </c>
      <c r="I609" s="1">
        <f>MAX(0,Table1[[#This Row],[Agi]]-Table1[[#This Row],[Exemptions]]-Table1[[#This Row],[Effective Deductions]])</f>
        <v>245050</v>
      </c>
      <c r="J6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56279.5</v>
      </c>
      <c r="K609" s="1">
        <f t="shared" si="50"/>
        <v>5000</v>
      </c>
      <c r="L609" s="1">
        <f>IF(Table1[[#This Row],[Agi]]&gt;ctc_phase_out_begins,ctc_phase_out_rate*(Table1[[#This Row],[Agi]]-ctc_phase_out_begins),0)</f>
        <v>8800</v>
      </c>
      <c r="M609" s="1">
        <f>MAX(Table1[[#This Row],[Child Tax Credit]]-Table1[[#This Row],[Child Tax Credit Phase Out]],0)</f>
        <v>0</v>
      </c>
      <c r="N609" s="1">
        <f>MAX(Table1[[#This Row],[Regular Taxes Owed]]-Table1[[#This Row],[Effective Child Tax Credit]],0)</f>
        <v>56279.5</v>
      </c>
      <c r="O609" s="1">
        <f>MAX(MIN((Table1[[#This Row],[taxable wages]]-3000)*0.15,1000*num_kids_16_younger),0)</f>
        <v>5000</v>
      </c>
      <c r="P609" s="9">
        <f>IF(Table1[[#This Row],[Effective Child Tax Credit]]&gt;Table1[[#This Row],[Regular Taxes Owed]],Table1[[#This Row],[Additional Child Tax Credit ]]-Table1[[#This Row],[Regular Taxes Owed]],0)</f>
        <v>0</v>
      </c>
      <c r="Q6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09" s="1">
        <f>Table1[[#This Row],[Effective Additional Child Tax Credit]]+Table1[[#This Row],[Eitc]]</f>
        <v>0</v>
      </c>
      <c r="S609" s="9">
        <f>Table1[[#This Row],[Regular Taxes Owed - Effective Child Tax Credit]]-Table1[[#This Row],[Total Credits]]</f>
        <v>56279.5</v>
      </c>
      <c r="T609" s="9">
        <f>Table1[[#This Row],[taxable wages]]+interest+dividends+short_term_capital_gains+long_term_capital_gains-(charitable_donations+mortgage_interest)</f>
        <v>286000</v>
      </c>
      <c r="U609" s="9">
        <f>MAX(amt_exemption-amt_exemption_phase_out_rate*MAX(Table1[[#This Row],[taxable wages]]-amt_phase_out_begins,0),0)</f>
        <v>52225</v>
      </c>
      <c r="V6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61731</v>
      </c>
      <c r="W609" s="1">
        <f>IF(AND(Table1[[#This Row],[AMT Taxes]]&gt;Table1[[#This Row],[Regular Taxes Owed]],Table1[[#This Row],[AMT Taxes]]&gt;0),Table1[[#This Row],[AMT Taxes]]-Table1[[#This Row],[Regular Taxes Owed]],0)</f>
        <v>5451.5</v>
      </c>
      <c r="X609" s="9">
        <f>Table1[[#This Row],[Extra Taxes From Amt]]+Table1[[#This Row],[Federal Taxes Owed (No AMT)]]</f>
        <v>61731</v>
      </c>
      <c r="Y609" s="9">
        <f>IF(Table1[[#This Row],[taxable wages]]&gt;obamacare_surcharge_amount,obamacare_surcharge_percent*(Table1[[#This Row],[taxable wages]]-obamacare_surcharge_amount),0)</f>
        <v>324</v>
      </c>
      <c r="Z609" s="9">
        <f>Table1[[#This Row],[Federal Taxes Owed (Includes AMT)]]+Table1[[#This Row],[Obamacare surcharge premium]]</f>
        <v>62055</v>
      </c>
      <c r="AA609" s="9">
        <f>Table1[[#This Row],[taxable wages]]-Table1[[#This Row],[Federal Taxes Owed2]]</f>
        <v>223945</v>
      </c>
      <c r="AB609" s="51">
        <f t="shared" si="51"/>
        <v>0.35899999999999999</v>
      </c>
      <c r="AC609" s="41"/>
      <c r="AD609" s="13"/>
      <c r="AE609" s="13"/>
    </row>
    <row r="610" spans="2:31" x14ac:dyDescent="0.3">
      <c r="B610" s="41">
        <f t="shared" si="52"/>
        <v>286500</v>
      </c>
      <c r="C610" s="1">
        <f>Table1[[#This Row],[taxable wages]]</f>
        <v>286500</v>
      </c>
      <c r="D610" s="1">
        <f>Table1[[#This Row],[taxable wages]]+interest+dividends+short_term_capital_gains+long_term_capital_gains</f>
        <v>286500</v>
      </c>
      <c r="E610" s="1">
        <f>MAX(Table1[[#This Row],[earned income for EITC]:[Agi For Eitc Calc]])</f>
        <v>286500</v>
      </c>
      <c r="F610" s="1">
        <f>Table1[[#This Row],[taxable wages]]+interest+dividends+short_term_capital_gains+long_term_capital_gains-(trad_ira_contributions+MIN(student_loan_interest_cap,student_loan_interest))</f>
        <v>286500</v>
      </c>
      <c r="G610" s="1">
        <f t="shared" si="48"/>
        <v>12600</v>
      </c>
      <c r="H610" s="1">
        <f t="shared" si="49"/>
        <v>28350</v>
      </c>
      <c r="I610" s="1">
        <f>MAX(0,Table1[[#This Row],[Agi]]-Table1[[#This Row],[Exemptions]]-Table1[[#This Row],[Effective Deductions]])</f>
        <v>245550</v>
      </c>
      <c r="J6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56444.5</v>
      </c>
      <c r="K610" s="1">
        <f t="shared" si="50"/>
        <v>5000</v>
      </c>
      <c r="L610" s="1">
        <f>IF(Table1[[#This Row],[Agi]]&gt;ctc_phase_out_begins,ctc_phase_out_rate*(Table1[[#This Row],[Agi]]-ctc_phase_out_begins),0)</f>
        <v>8825</v>
      </c>
      <c r="M610" s="1">
        <f>MAX(Table1[[#This Row],[Child Tax Credit]]-Table1[[#This Row],[Child Tax Credit Phase Out]],0)</f>
        <v>0</v>
      </c>
      <c r="N610" s="1">
        <f>MAX(Table1[[#This Row],[Regular Taxes Owed]]-Table1[[#This Row],[Effective Child Tax Credit]],0)</f>
        <v>56444.5</v>
      </c>
      <c r="O610" s="1">
        <f>MAX(MIN((Table1[[#This Row],[taxable wages]]-3000)*0.15,1000*num_kids_16_younger),0)</f>
        <v>5000</v>
      </c>
      <c r="P610" s="9">
        <f>IF(Table1[[#This Row],[Effective Child Tax Credit]]&gt;Table1[[#This Row],[Regular Taxes Owed]],Table1[[#This Row],[Additional Child Tax Credit ]]-Table1[[#This Row],[Regular Taxes Owed]],0)</f>
        <v>0</v>
      </c>
      <c r="Q6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0" s="1">
        <f>Table1[[#This Row],[Effective Additional Child Tax Credit]]+Table1[[#This Row],[Eitc]]</f>
        <v>0</v>
      </c>
      <c r="S610" s="9">
        <f>Table1[[#This Row],[Regular Taxes Owed - Effective Child Tax Credit]]-Table1[[#This Row],[Total Credits]]</f>
        <v>56444.5</v>
      </c>
      <c r="T610" s="9">
        <f>Table1[[#This Row],[taxable wages]]+interest+dividends+short_term_capital_gains+long_term_capital_gains-(charitable_donations+mortgage_interest)</f>
        <v>286500</v>
      </c>
      <c r="U610" s="9">
        <f>MAX(amt_exemption-amt_exemption_phase_out_rate*MAX(Table1[[#This Row],[taxable wages]]-amt_phase_out_begins,0),0)</f>
        <v>52100</v>
      </c>
      <c r="V6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61906</v>
      </c>
      <c r="W610" s="1">
        <f>IF(AND(Table1[[#This Row],[AMT Taxes]]&gt;Table1[[#This Row],[Regular Taxes Owed]],Table1[[#This Row],[AMT Taxes]]&gt;0),Table1[[#This Row],[AMT Taxes]]-Table1[[#This Row],[Regular Taxes Owed]],0)</f>
        <v>5461.5</v>
      </c>
      <c r="X610" s="9">
        <f>Table1[[#This Row],[Extra Taxes From Amt]]+Table1[[#This Row],[Federal Taxes Owed (No AMT)]]</f>
        <v>61906</v>
      </c>
      <c r="Y610" s="9">
        <f>IF(Table1[[#This Row],[taxable wages]]&gt;obamacare_surcharge_amount,obamacare_surcharge_percent*(Table1[[#This Row],[taxable wages]]-obamacare_surcharge_amount),0)</f>
        <v>328.5</v>
      </c>
      <c r="Z610" s="9">
        <f>Table1[[#This Row],[Federal Taxes Owed (Includes AMT)]]+Table1[[#This Row],[Obamacare surcharge premium]]</f>
        <v>62234.5</v>
      </c>
      <c r="AA610" s="9">
        <f>Table1[[#This Row],[taxable wages]]-Table1[[#This Row],[Federal Taxes Owed2]]</f>
        <v>224265.5</v>
      </c>
      <c r="AB610" s="51">
        <f t="shared" si="51"/>
        <v>0.35899999999999999</v>
      </c>
      <c r="AC610" s="41"/>
      <c r="AD610" s="13"/>
      <c r="AE610" s="13"/>
    </row>
    <row r="611" spans="2:31" x14ac:dyDescent="0.3">
      <c r="B611" s="41">
        <f t="shared" si="52"/>
        <v>287000</v>
      </c>
      <c r="C611" s="1">
        <f>Table1[[#This Row],[taxable wages]]</f>
        <v>287000</v>
      </c>
      <c r="D611" s="1">
        <f>Table1[[#This Row],[taxable wages]]+interest+dividends+short_term_capital_gains+long_term_capital_gains</f>
        <v>287000</v>
      </c>
      <c r="E611" s="1">
        <f>MAX(Table1[[#This Row],[earned income for EITC]:[Agi For Eitc Calc]])</f>
        <v>287000</v>
      </c>
      <c r="F611" s="1">
        <f>Table1[[#This Row],[taxable wages]]+interest+dividends+short_term_capital_gains+long_term_capital_gains-(trad_ira_contributions+MIN(student_loan_interest_cap,student_loan_interest))</f>
        <v>287000</v>
      </c>
      <c r="G611" s="1">
        <f t="shared" si="48"/>
        <v>12600</v>
      </c>
      <c r="H611" s="1">
        <f t="shared" si="49"/>
        <v>28350</v>
      </c>
      <c r="I611" s="1">
        <f>MAX(0,Table1[[#This Row],[Agi]]-Table1[[#This Row],[Exemptions]]-Table1[[#This Row],[Effective Deductions]])</f>
        <v>246050</v>
      </c>
      <c r="J6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56609.5</v>
      </c>
      <c r="K611" s="1">
        <f t="shared" si="50"/>
        <v>5000</v>
      </c>
      <c r="L611" s="1">
        <f>IF(Table1[[#This Row],[Agi]]&gt;ctc_phase_out_begins,ctc_phase_out_rate*(Table1[[#This Row],[Agi]]-ctc_phase_out_begins),0)</f>
        <v>8850</v>
      </c>
      <c r="M611" s="1">
        <f>MAX(Table1[[#This Row],[Child Tax Credit]]-Table1[[#This Row],[Child Tax Credit Phase Out]],0)</f>
        <v>0</v>
      </c>
      <c r="N611" s="1">
        <f>MAX(Table1[[#This Row],[Regular Taxes Owed]]-Table1[[#This Row],[Effective Child Tax Credit]],0)</f>
        <v>56609.5</v>
      </c>
      <c r="O611" s="1">
        <f>MAX(MIN((Table1[[#This Row],[taxable wages]]-3000)*0.15,1000*num_kids_16_younger),0)</f>
        <v>5000</v>
      </c>
      <c r="P611" s="9">
        <f>IF(Table1[[#This Row],[Effective Child Tax Credit]]&gt;Table1[[#This Row],[Regular Taxes Owed]],Table1[[#This Row],[Additional Child Tax Credit ]]-Table1[[#This Row],[Regular Taxes Owed]],0)</f>
        <v>0</v>
      </c>
      <c r="Q6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1" s="1">
        <f>Table1[[#This Row],[Effective Additional Child Tax Credit]]+Table1[[#This Row],[Eitc]]</f>
        <v>0</v>
      </c>
      <c r="S611" s="9">
        <f>Table1[[#This Row],[Regular Taxes Owed - Effective Child Tax Credit]]-Table1[[#This Row],[Total Credits]]</f>
        <v>56609.5</v>
      </c>
      <c r="T611" s="9">
        <f>Table1[[#This Row],[taxable wages]]+interest+dividends+short_term_capital_gains+long_term_capital_gains-(charitable_donations+mortgage_interest)</f>
        <v>287000</v>
      </c>
      <c r="U611" s="9">
        <f>MAX(amt_exemption-amt_exemption_phase_out_rate*MAX(Table1[[#This Row],[taxable wages]]-amt_phase_out_begins,0),0)</f>
        <v>51975</v>
      </c>
      <c r="V6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62081</v>
      </c>
      <c r="W611" s="1">
        <f>IF(AND(Table1[[#This Row],[AMT Taxes]]&gt;Table1[[#This Row],[Regular Taxes Owed]],Table1[[#This Row],[AMT Taxes]]&gt;0),Table1[[#This Row],[AMT Taxes]]-Table1[[#This Row],[Regular Taxes Owed]],0)</f>
        <v>5471.5</v>
      </c>
      <c r="X611" s="9">
        <f>Table1[[#This Row],[Extra Taxes From Amt]]+Table1[[#This Row],[Federal Taxes Owed (No AMT)]]</f>
        <v>62081</v>
      </c>
      <c r="Y611" s="9">
        <f>IF(Table1[[#This Row],[taxable wages]]&gt;obamacare_surcharge_amount,obamacare_surcharge_percent*(Table1[[#This Row],[taxable wages]]-obamacare_surcharge_amount),0)</f>
        <v>333</v>
      </c>
      <c r="Z611" s="9">
        <f>Table1[[#This Row],[Federal Taxes Owed (Includes AMT)]]+Table1[[#This Row],[Obamacare surcharge premium]]</f>
        <v>62414</v>
      </c>
      <c r="AA611" s="9">
        <f>Table1[[#This Row],[taxable wages]]-Table1[[#This Row],[Federal Taxes Owed2]]</f>
        <v>224586</v>
      </c>
      <c r="AB611" s="51">
        <f t="shared" si="51"/>
        <v>0.35899999999999999</v>
      </c>
      <c r="AC611" s="41"/>
      <c r="AD611" s="13"/>
      <c r="AE611" s="13"/>
    </row>
    <row r="612" spans="2:31" x14ac:dyDescent="0.3">
      <c r="B612" s="41">
        <f t="shared" si="52"/>
        <v>287500</v>
      </c>
      <c r="C612" s="1">
        <f>Table1[[#This Row],[taxable wages]]</f>
        <v>287500</v>
      </c>
      <c r="D612" s="1">
        <f>Table1[[#This Row],[taxable wages]]+interest+dividends+short_term_capital_gains+long_term_capital_gains</f>
        <v>287500</v>
      </c>
      <c r="E612" s="1">
        <f>MAX(Table1[[#This Row],[earned income for EITC]:[Agi For Eitc Calc]])</f>
        <v>287500</v>
      </c>
      <c r="F612" s="1">
        <f>Table1[[#This Row],[taxable wages]]+interest+dividends+short_term_capital_gains+long_term_capital_gains-(trad_ira_contributions+MIN(student_loan_interest_cap,student_loan_interest))</f>
        <v>287500</v>
      </c>
      <c r="G612" s="1">
        <f t="shared" si="48"/>
        <v>12600</v>
      </c>
      <c r="H612" s="1">
        <f t="shared" si="49"/>
        <v>28350</v>
      </c>
      <c r="I612" s="1">
        <f>MAX(0,Table1[[#This Row],[Agi]]-Table1[[#This Row],[Exemptions]]-Table1[[#This Row],[Effective Deductions]])</f>
        <v>246550</v>
      </c>
      <c r="J6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56774.5</v>
      </c>
      <c r="K612" s="1">
        <f t="shared" si="50"/>
        <v>5000</v>
      </c>
      <c r="L612" s="1">
        <f>IF(Table1[[#This Row],[Agi]]&gt;ctc_phase_out_begins,ctc_phase_out_rate*(Table1[[#This Row],[Agi]]-ctc_phase_out_begins),0)</f>
        <v>8875</v>
      </c>
      <c r="M612" s="1">
        <f>MAX(Table1[[#This Row],[Child Tax Credit]]-Table1[[#This Row],[Child Tax Credit Phase Out]],0)</f>
        <v>0</v>
      </c>
      <c r="N612" s="1">
        <f>MAX(Table1[[#This Row],[Regular Taxes Owed]]-Table1[[#This Row],[Effective Child Tax Credit]],0)</f>
        <v>56774.5</v>
      </c>
      <c r="O612" s="1">
        <f>MAX(MIN((Table1[[#This Row],[taxable wages]]-3000)*0.15,1000*num_kids_16_younger),0)</f>
        <v>5000</v>
      </c>
      <c r="P612" s="9">
        <f>IF(Table1[[#This Row],[Effective Child Tax Credit]]&gt;Table1[[#This Row],[Regular Taxes Owed]],Table1[[#This Row],[Additional Child Tax Credit ]]-Table1[[#This Row],[Regular Taxes Owed]],0)</f>
        <v>0</v>
      </c>
      <c r="Q6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2" s="1">
        <f>Table1[[#This Row],[Effective Additional Child Tax Credit]]+Table1[[#This Row],[Eitc]]</f>
        <v>0</v>
      </c>
      <c r="S612" s="9">
        <f>Table1[[#This Row],[Regular Taxes Owed - Effective Child Tax Credit]]-Table1[[#This Row],[Total Credits]]</f>
        <v>56774.5</v>
      </c>
      <c r="T612" s="9">
        <f>Table1[[#This Row],[taxable wages]]+interest+dividends+short_term_capital_gains+long_term_capital_gains-(charitable_donations+mortgage_interest)</f>
        <v>287500</v>
      </c>
      <c r="U612" s="9">
        <f>MAX(amt_exemption-amt_exemption_phase_out_rate*MAX(Table1[[#This Row],[taxable wages]]-amt_phase_out_begins,0),0)</f>
        <v>51850</v>
      </c>
      <c r="V6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62256</v>
      </c>
      <c r="W612" s="1">
        <f>IF(AND(Table1[[#This Row],[AMT Taxes]]&gt;Table1[[#This Row],[Regular Taxes Owed]],Table1[[#This Row],[AMT Taxes]]&gt;0),Table1[[#This Row],[AMT Taxes]]-Table1[[#This Row],[Regular Taxes Owed]],0)</f>
        <v>5481.5</v>
      </c>
      <c r="X612" s="9">
        <f>Table1[[#This Row],[Extra Taxes From Amt]]+Table1[[#This Row],[Federal Taxes Owed (No AMT)]]</f>
        <v>62256</v>
      </c>
      <c r="Y612" s="9">
        <f>IF(Table1[[#This Row],[taxable wages]]&gt;obamacare_surcharge_amount,obamacare_surcharge_percent*(Table1[[#This Row],[taxable wages]]-obamacare_surcharge_amount),0)</f>
        <v>337.5</v>
      </c>
      <c r="Z612" s="9">
        <f>Table1[[#This Row],[Federal Taxes Owed (Includes AMT)]]+Table1[[#This Row],[Obamacare surcharge premium]]</f>
        <v>62593.5</v>
      </c>
      <c r="AA612" s="9">
        <f>Table1[[#This Row],[taxable wages]]-Table1[[#This Row],[Federal Taxes Owed2]]</f>
        <v>224906.5</v>
      </c>
      <c r="AB612" s="51">
        <f t="shared" si="51"/>
        <v>0.35899999999999999</v>
      </c>
      <c r="AC612" s="41"/>
      <c r="AD612" s="13"/>
      <c r="AE612" s="13"/>
    </row>
    <row r="613" spans="2:31" x14ac:dyDescent="0.3">
      <c r="B613" s="41">
        <f t="shared" si="52"/>
        <v>288000</v>
      </c>
      <c r="C613" s="1">
        <f>Table1[[#This Row],[taxable wages]]</f>
        <v>288000</v>
      </c>
      <c r="D613" s="1">
        <f>Table1[[#This Row],[taxable wages]]+interest+dividends+short_term_capital_gains+long_term_capital_gains</f>
        <v>288000</v>
      </c>
      <c r="E613" s="1">
        <f>MAX(Table1[[#This Row],[earned income for EITC]:[Agi For Eitc Calc]])</f>
        <v>288000</v>
      </c>
      <c r="F613" s="1">
        <f>Table1[[#This Row],[taxable wages]]+interest+dividends+short_term_capital_gains+long_term_capital_gains-(trad_ira_contributions+MIN(student_loan_interest_cap,student_loan_interest))</f>
        <v>288000</v>
      </c>
      <c r="G613" s="1">
        <f t="shared" si="48"/>
        <v>12600</v>
      </c>
      <c r="H613" s="1">
        <f t="shared" si="49"/>
        <v>28350</v>
      </c>
      <c r="I613" s="1">
        <f>MAX(0,Table1[[#This Row],[Agi]]-Table1[[#This Row],[Exemptions]]-Table1[[#This Row],[Effective Deductions]])</f>
        <v>247050</v>
      </c>
      <c r="J6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56939.5</v>
      </c>
      <c r="K613" s="1">
        <f t="shared" si="50"/>
        <v>5000</v>
      </c>
      <c r="L613" s="1">
        <f>IF(Table1[[#This Row],[Agi]]&gt;ctc_phase_out_begins,ctc_phase_out_rate*(Table1[[#This Row],[Agi]]-ctc_phase_out_begins),0)</f>
        <v>8900</v>
      </c>
      <c r="M613" s="1">
        <f>MAX(Table1[[#This Row],[Child Tax Credit]]-Table1[[#This Row],[Child Tax Credit Phase Out]],0)</f>
        <v>0</v>
      </c>
      <c r="N613" s="1">
        <f>MAX(Table1[[#This Row],[Regular Taxes Owed]]-Table1[[#This Row],[Effective Child Tax Credit]],0)</f>
        <v>56939.5</v>
      </c>
      <c r="O613" s="1">
        <f>MAX(MIN((Table1[[#This Row],[taxable wages]]-3000)*0.15,1000*num_kids_16_younger),0)</f>
        <v>5000</v>
      </c>
      <c r="P613" s="9">
        <f>IF(Table1[[#This Row],[Effective Child Tax Credit]]&gt;Table1[[#This Row],[Regular Taxes Owed]],Table1[[#This Row],[Additional Child Tax Credit ]]-Table1[[#This Row],[Regular Taxes Owed]],0)</f>
        <v>0</v>
      </c>
      <c r="Q6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3" s="1">
        <f>Table1[[#This Row],[Effective Additional Child Tax Credit]]+Table1[[#This Row],[Eitc]]</f>
        <v>0</v>
      </c>
      <c r="S613" s="9">
        <f>Table1[[#This Row],[Regular Taxes Owed - Effective Child Tax Credit]]-Table1[[#This Row],[Total Credits]]</f>
        <v>56939.5</v>
      </c>
      <c r="T613" s="9">
        <f>Table1[[#This Row],[taxable wages]]+interest+dividends+short_term_capital_gains+long_term_capital_gains-(charitable_donations+mortgage_interest)</f>
        <v>288000</v>
      </c>
      <c r="U613" s="9">
        <f>MAX(amt_exemption-amt_exemption_phase_out_rate*MAX(Table1[[#This Row],[taxable wages]]-amt_phase_out_begins,0),0)</f>
        <v>51725</v>
      </c>
      <c r="V6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62431</v>
      </c>
      <c r="W613" s="1">
        <f>IF(AND(Table1[[#This Row],[AMT Taxes]]&gt;Table1[[#This Row],[Regular Taxes Owed]],Table1[[#This Row],[AMT Taxes]]&gt;0),Table1[[#This Row],[AMT Taxes]]-Table1[[#This Row],[Regular Taxes Owed]],0)</f>
        <v>5491.5</v>
      </c>
      <c r="X613" s="9">
        <f>Table1[[#This Row],[Extra Taxes From Amt]]+Table1[[#This Row],[Federal Taxes Owed (No AMT)]]</f>
        <v>62431</v>
      </c>
      <c r="Y613" s="9">
        <f>IF(Table1[[#This Row],[taxable wages]]&gt;obamacare_surcharge_amount,obamacare_surcharge_percent*(Table1[[#This Row],[taxable wages]]-obamacare_surcharge_amount),0)</f>
        <v>342</v>
      </c>
      <c r="Z613" s="9">
        <f>Table1[[#This Row],[Federal Taxes Owed (Includes AMT)]]+Table1[[#This Row],[Obamacare surcharge premium]]</f>
        <v>62773</v>
      </c>
      <c r="AA613" s="9">
        <f>Table1[[#This Row],[taxable wages]]-Table1[[#This Row],[Federal Taxes Owed2]]</f>
        <v>225227</v>
      </c>
      <c r="AB613" s="51">
        <f t="shared" si="51"/>
        <v>0.35899999999999999</v>
      </c>
      <c r="AC613" s="41"/>
      <c r="AD613" s="13"/>
      <c r="AE613" s="13"/>
    </row>
    <row r="614" spans="2:31" x14ac:dyDescent="0.3">
      <c r="B614" s="41">
        <f t="shared" si="52"/>
        <v>288500</v>
      </c>
      <c r="C614" s="1">
        <f>Table1[[#This Row],[taxable wages]]</f>
        <v>288500</v>
      </c>
      <c r="D614" s="1">
        <f>Table1[[#This Row],[taxable wages]]+interest+dividends+short_term_capital_gains+long_term_capital_gains</f>
        <v>288500</v>
      </c>
      <c r="E614" s="1">
        <f>MAX(Table1[[#This Row],[earned income for EITC]:[Agi For Eitc Calc]])</f>
        <v>288500</v>
      </c>
      <c r="F614" s="1">
        <f>Table1[[#This Row],[taxable wages]]+interest+dividends+short_term_capital_gains+long_term_capital_gains-(trad_ira_contributions+MIN(student_loan_interest_cap,student_loan_interest))</f>
        <v>288500</v>
      </c>
      <c r="G614" s="1">
        <f t="shared" ref="G614:G677" si="53">MAX(standard_deduction,mortgage_interest+real_estate_property_taxes+state_income_tax_paid+charitable_donations+medical_expenses)</f>
        <v>12600</v>
      </c>
      <c r="H614" s="1">
        <f t="shared" ref="H614:H677" si="54">num_people_in_family*personal_exemption</f>
        <v>28350</v>
      </c>
      <c r="I614" s="1">
        <f>MAX(0,Table1[[#This Row],[Agi]]-Table1[[#This Row],[Exemptions]]-Table1[[#This Row],[Effective Deductions]])</f>
        <v>247550</v>
      </c>
      <c r="J6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57104.5</v>
      </c>
      <c r="K614" s="1">
        <f t="shared" ref="K614:K677" si="55">child_tax_credit*num_kids_16_younger</f>
        <v>5000</v>
      </c>
      <c r="L614" s="1">
        <f>IF(Table1[[#This Row],[Agi]]&gt;ctc_phase_out_begins,ctc_phase_out_rate*(Table1[[#This Row],[Agi]]-ctc_phase_out_begins),0)</f>
        <v>8925</v>
      </c>
      <c r="M614" s="1">
        <f>MAX(Table1[[#This Row],[Child Tax Credit]]-Table1[[#This Row],[Child Tax Credit Phase Out]],0)</f>
        <v>0</v>
      </c>
      <c r="N614" s="1">
        <f>MAX(Table1[[#This Row],[Regular Taxes Owed]]-Table1[[#This Row],[Effective Child Tax Credit]],0)</f>
        <v>57104.5</v>
      </c>
      <c r="O614" s="1">
        <f>MAX(MIN((Table1[[#This Row],[taxable wages]]-3000)*0.15,1000*num_kids_16_younger),0)</f>
        <v>5000</v>
      </c>
      <c r="P614" s="9">
        <f>IF(Table1[[#This Row],[Effective Child Tax Credit]]&gt;Table1[[#This Row],[Regular Taxes Owed]],Table1[[#This Row],[Additional Child Tax Credit ]]-Table1[[#This Row],[Regular Taxes Owed]],0)</f>
        <v>0</v>
      </c>
      <c r="Q6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4" s="1">
        <f>Table1[[#This Row],[Effective Additional Child Tax Credit]]+Table1[[#This Row],[Eitc]]</f>
        <v>0</v>
      </c>
      <c r="S614" s="9">
        <f>Table1[[#This Row],[Regular Taxes Owed - Effective Child Tax Credit]]-Table1[[#This Row],[Total Credits]]</f>
        <v>57104.5</v>
      </c>
      <c r="T614" s="9">
        <f>Table1[[#This Row],[taxable wages]]+interest+dividends+short_term_capital_gains+long_term_capital_gains-(charitable_donations+mortgage_interest)</f>
        <v>288500</v>
      </c>
      <c r="U614" s="9">
        <f>MAX(amt_exemption-amt_exemption_phase_out_rate*MAX(Table1[[#This Row],[taxable wages]]-amt_phase_out_begins,0),0)</f>
        <v>51600</v>
      </c>
      <c r="V6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62606</v>
      </c>
      <c r="W614" s="1">
        <f>IF(AND(Table1[[#This Row],[AMT Taxes]]&gt;Table1[[#This Row],[Regular Taxes Owed]],Table1[[#This Row],[AMT Taxes]]&gt;0),Table1[[#This Row],[AMT Taxes]]-Table1[[#This Row],[Regular Taxes Owed]],0)</f>
        <v>5501.5</v>
      </c>
      <c r="X614" s="9">
        <f>Table1[[#This Row],[Extra Taxes From Amt]]+Table1[[#This Row],[Federal Taxes Owed (No AMT)]]</f>
        <v>62606</v>
      </c>
      <c r="Y614" s="9">
        <f>IF(Table1[[#This Row],[taxable wages]]&gt;obamacare_surcharge_amount,obamacare_surcharge_percent*(Table1[[#This Row],[taxable wages]]-obamacare_surcharge_amount),0)</f>
        <v>346.5</v>
      </c>
      <c r="Z614" s="9">
        <f>Table1[[#This Row],[Federal Taxes Owed (Includes AMT)]]+Table1[[#This Row],[Obamacare surcharge premium]]</f>
        <v>62952.5</v>
      </c>
      <c r="AA614" s="9">
        <f>Table1[[#This Row],[taxable wages]]-Table1[[#This Row],[Federal Taxes Owed2]]</f>
        <v>225547.5</v>
      </c>
      <c r="AB614" s="51">
        <f t="shared" si="51"/>
        <v>0.35899999999999999</v>
      </c>
      <c r="AC614" s="41"/>
      <c r="AD614" s="13"/>
      <c r="AE614" s="13"/>
    </row>
    <row r="615" spans="2:31" x14ac:dyDescent="0.3">
      <c r="B615" s="41">
        <f t="shared" si="52"/>
        <v>289000</v>
      </c>
      <c r="C615" s="1">
        <f>Table1[[#This Row],[taxable wages]]</f>
        <v>289000</v>
      </c>
      <c r="D615" s="1">
        <f>Table1[[#This Row],[taxable wages]]+interest+dividends+short_term_capital_gains+long_term_capital_gains</f>
        <v>289000</v>
      </c>
      <c r="E615" s="1">
        <f>MAX(Table1[[#This Row],[earned income for EITC]:[Agi For Eitc Calc]])</f>
        <v>289000</v>
      </c>
      <c r="F615" s="1">
        <f>Table1[[#This Row],[taxable wages]]+interest+dividends+short_term_capital_gains+long_term_capital_gains-(trad_ira_contributions+MIN(student_loan_interest_cap,student_loan_interest))</f>
        <v>289000</v>
      </c>
      <c r="G615" s="1">
        <f t="shared" si="53"/>
        <v>12600</v>
      </c>
      <c r="H615" s="1">
        <f t="shared" si="54"/>
        <v>28350</v>
      </c>
      <c r="I615" s="1">
        <f>MAX(0,Table1[[#This Row],[Agi]]-Table1[[#This Row],[Exemptions]]-Table1[[#This Row],[Effective Deductions]])</f>
        <v>248050</v>
      </c>
      <c r="J6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57269.5</v>
      </c>
      <c r="K615" s="1">
        <f t="shared" si="55"/>
        <v>5000</v>
      </c>
      <c r="L615" s="1">
        <f>IF(Table1[[#This Row],[Agi]]&gt;ctc_phase_out_begins,ctc_phase_out_rate*(Table1[[#This Row],[Agi]]-ctc_phase_out_begins),0)</f>
        <v>8950</v>
      </c>
      <c r="M615" s="1">
        <f>MAX(Table1[[#This Row],[Child Tax Credit]]-Table1[[#This Row],[Child Tax Credit Phase Out]],0)</f>
        <v>0</v>
      </c>
      <c r="N615" s="1">
        <f>MAX(Table1[[#This Row],[Regular Taxes Owed]]-Table1[[#This Row],[Effective Child Tax Credit]],0)</f>
        <v>57269.5</v>
      </c>
      <c r="O615" s="1">
        <f>MAX(MIN((Table1[[#This Row],[taxable wages]]-3000)*0.15,1000*num_kids_16_younger),0)</f>
        <v>5000</v>
      </c>
      <c r="P615" s="9">
        <f>IF(Table1[[#This Row],[Effective Child Tax Credit]]&gt;Table1[[#This Row],[Regular Taxes Owed]],Table1[[#This Row],[Additional Child Tax Credit ]]-Table1[[#This Row],[Regular Taxes Owed]],0)</f>
        <v>0</v>
      </c>
      <c r="Q6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5" s="1">
        <f>Table1[[#This Row],[Effective Additional Child Tax Credit]]+Table1[[#This Row],[Eitc]]</f>
        <v>0</v>
      </c>
      <c r="S615" s="9">
        <f>Table1[[#This Row],[Regular Taxes Owed - Effective Child Tax Credit]]-Table1[[#This Row],[Total Credits]]</f>
        <v>57269.5</v>
      </c>
      <c r="T615" s="9">
        <f>Table1[[#This Row],[taxable wages]]+interest+dividends+short_term_capital_gains+long_term_capital_gains-(charitable_donations+mortgage_interest)</f>
        <v>289000</v>
      </c>
      <c r="U615" s="9">
        <f>MAX(amt_exemption-amt_exemption_phase_out_rate*MAX(Table1[[#This Row],[taxable wages]]-amt_phase_out_begins,0),0)</f>
        <v>51475</v>
      </c>
      <c r="V6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62781</v>
      </c>
      <c r="W615" s="1">
        <f>IF(AND(Table1[[#This Row],[AMT Taxes]]&gt;Table1[[#This Row],[Regular Taxes Owed]],Table1[[#This Row],[AMT Taxes]]&gt;0),Table1[[#This Row],[AMT Taxes]]-Table1[[#This Row],[Regular Taxes Owed]],0)</f>
        <v>5511.5</v>
      </c>
      <c r="X615" s="9">
        <f>Table1[[#This Row],[Extra Taxes From Amt]]+Table1[[#This Row],[Federal Taxes Owed (No AMT)]]</f>
        <v>62781</v>
      </c>
      <c r="Y615" s="9">
        <f>IF(Table1[[#This Row],[taxable wages]]&gt;obamacare_surcharge_amount,obamacare_surcharge_percent*(Table1[[#This Row],[taxable wages]]-obamacare_surcharge_amount),0)</f>
        <v>351</v>
      </c>
      <c r="Z615" s="9">
        <f>Table1[[#This Row],[Federal Taxes Owed (Includes AMT)]]+Table1[[#This Row],[Obamacare surcharge premium]]</f>
        <v>63132</v>
      </c>
      <c r="AA615" s="9">
        <f>Table1[[#This Row],[taxable wages]]-Table1[[#This Row],[Federal Taxes Owed2]]</f>
        <v>225868</v>
      </c>
      <c r="AB615" s="51">
        <f t="shared" ref="AB615:AB678" si="56">(Z615-Z614)/(B615-B614)</f>
        <v>0.35899999999999999</v>
      </c>
      <c r="AC615" s="41"/>
      <c r="AD615" s="13"/>
      <c r="AE615" s="13"/>
    </row>
    <row r="616" spans="2:31" x14ac:dyDescent="0.3">
      <c r="B616" s="41">
        <f t="shared" ref="B616:B679" si="57">B615+500</f>
        <v>289500</v>
      </c>
      <c r="C616" s="1">
        <f>Table1[[#This Row],[taxable wages]]</f>
        <v>289500</v>
      </c>
      <c r="D616" s="1">
        <f>Table1[[#This Row],[taxable wages]]+interest+dividends+short_term_capital_gains+long_term_capital_gains</f>
        <v>289500</v>
      </c>
      <c r="E616" s="1">
        <f>MAX(Table1[[#This Row],[earned income for EITC]:[Agi For Eitc Calc]])</f>
        <v>289500</v>
      </c>
      <c r="F616" s="1">
        <f>Table1[[#This Row],[taxable wages]]+interest+dividends+short_term_capital_gains+long_term_capital_gains-(trad_ira_contributions+MIN(student_loan_interest_cap,student_loan_interest))</f>
        <v>289500</v>
      </c>
      <c r="G616" s="1">
        <f t="shared" si="53"/>
        <v>12600</v>
      </c>
      <c r="H616" s="1">
        <f t="shared" si="54"/>
        <v>28350</v>
      </c>
      <c r="I616" s="1">
        <f>MAX(0,Table1[[#This Row],[Agi]]-Table1[[#This Row],[Exemptions]]-Table1[[#This Row],[Effective Deductions]])</f>
        <v>248550</v>
      </c>
      <c r="J6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57434.5</v>
      </c>
      <c r="K616" s="1">
        <f t="shared" si="55"/>
        <v>5000</v>
      </c>
      <c r="L616" s="1">
        <f>IF(Table1[[#This Row],[Agi]]&gt;ctc_phase_out_begins,ctc_phase_out_rate*(Table1[[#This Row],[Agi]]-ctc_phase_out_begins),0)</f>
        <v>8975</v>
      </c>
      <c r="M616" s="1">
        <f>MAX(Table1[[#This Row],[Child Tax Credit]]-Table1[[#This Row],[Child Tax Credit Phase Out]],0)</f>
        <v>0</v>
      </c>
      <c r="N616" s="1">
        <f>MAX(Table1[[#This Row],[Regular Taxes Owed]]-Table1[[#This Row],[Effective Child Tax Credit]],0)</f>
        <v>57434.5</v>
      </c>
      <c r="O616" s="1">
        <f>MAX(MIN((Table1[[#This Row],[taxable wages]]-3000)*0.15,1000*num_kids_16_younger),0)</f>
        <v>5000</v>
      </c>
      <c r="P616" s="9">
        <f>IF(Table1[[#This Row],[Effective Child Tax Credit]]&gt;Table1[[#This Row],[Regular Taxes Owed]],Table1[[#This Row],[Additional Child Tax Credit ]]-Table1[[#This Row],[Regular Taxes Owed]],0)</f>
        <v>0</v>
      </c>
      <c r="Q6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6" s="1">
        <f>Table1[[#This Row],[Effective Additional Child Tax Credit]]+Table1[[#This Row],[Eitc]]</f>
        <v>0</v>
      </c>
      <c r="S616" s="9">
        <f>Table1[[#This Row],[Regular Taxes Owed - Effective Child Tax Credit]]-Table1[[#This Row],[Total Credits]]</f>
        <v>57434.5</v>
      </c>
      <c r="T616" s="9">
        <f>Table1[[#This Row],[taxable wages]]+interest+dividends+short_term_capital_gains+long_term_capital_gains-(charitable_donations+mortgage_interest)</f>
        <v>289500</v>
      </c>
      <c r="U616" s="9">
        <f>MAX(amt_exemption-amt_exemption_phase_out_rate*MAX(Table1[[#This Row],[taxable wages]]-amt_phase_out_begins,0),0)</f>
        <v>51350</v>
      </c>
      <c r="V6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62956</v>
      </c>
      <c r="W616" s="1">
        <f>IF(AND(Table1[[#This Row],[AMT Taxes]]&gt;Table1[[#This Row],[Regular Taxes Owed]],Table1[[#This Row],[AMT Taxes]]&gt;0),Table1[[#This Row],[AMT Taxes]]-Table1[[#This Row],[Regular Taxes Owed]],0)</f>
        <v>5521.5</v>
      </c>
      <c r="X616" s="9">
        <f>Table1[[#This Row],[Extra Taxes From Amt]]+Table1[[#This Row],[Federal Taxes Owed (No AMT)]]</f>
        <v>62956</v>
      </c>
      <c r="Y616" s="9">
        <f>IF(Table1[[#This Row],[taxable wages]]&gt;obamacare_surcharge_amount,obamacare_surcharge_percent*(Table1[[#This Row],[taxable wages]]-obamacare_surcharge_amount),0)</f>
        <v>355.5</v>
      </c>
      <c r="Z616" s="9">
        <f>Table1[[#This Row],[Federal Taxes Owed (Includes AMT)]]+Table1[[#This Row],[Obamacare surcharge premium]]</f>
        <v>63311.5</v>
      </c>
      <c r="AA616" s="9">
        <f>Table1[[#This Row],[taxable wages]]-Table1[[#This Row],[Federal Taxes Owed2]]</f>
        <v>226188.5</v>
      </c>
      <c r="AB616" s="51">
        <f t="shared" si="56"/>
        <v>0.35899999999999999</v>
      </c>
      <c r="AC616" s="41"/>
      <c r="AD616" s="13"/>
      <c r="AE616" s="13"/>
    </row>
    <row r="617" spans="2:31" x14ac:dyDescent="0.3">
      <c r="B617" s="41">
        <f t="shared" si="57"/>
        <v>290000</v>
      </c>
      <c r="C617" s="1">
        <f>Table1[[#This Row],[taxable wages]]</f>
        <v>290000</v>
      </c>
      <c r="D617" s="1">
        <f>Table1[[#This Row],[taxable wages]]+interest+dividends+short_term_capital_gains+long_term_capital_gains</f>
        <v>290000</v>
      </c>
      <c r="E617" s="1">
        <f>MAX(Table1[[#This Row],[earned income for EITC]:[Agi For Eitc Calc]])</f>
        <v>290000</v>
      </c>
      <c r="F617" s="1">
        <f>Table1[[#This Row],[taxable wages]]+interest+dividends+short_term_capital_gains+long_term_capital_gains-(trad_ira_contributions+MIN(student_loan_interest_cap,student_loan_interest))</f>
        <v>290000</v>
      </c>
      <c r="G617" s="1">
        <f t="shared" si="53"/>
        <v>12600</v>
      </c>
      <c r="H617" s="1">
        <f t="shared" si="54"/>
        <v>28350</v>
      </c>
      <c r="I617" s="1">
        <f>MAX(0,Table1[[#This Row],[Agi]]-Table1[[#This Row],[Exemptions]]-Table1[[#This Row],[Effective Deductions]])</f>
        <v>249050</v>
      </c>
      <c r="J6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57599.5</v>
      </c>
      <c r="K617" s="1">
        <f t="shared" si="55"/>
        <v>5000</v>
      </c>
      <c r="L617" s="1">
        <f>IF(Table1[[#This Row],[Agi]]&gt;ctc_phase_out_begins,ctc_phase_out_rate*(Table1[[#This Row],[Agi]]-ctc_phase_out_begins),0)</f>
        <v>9000</v>
      </c>
      <c r="M617" s="1">
        <f>MAX(Table1[[#This Row],[Child Tax Credit]]-Table1[[#This Row],[Child Tax Credit Phase Out]],0)</f>
        <v>0</v>
      </c>
      <c r="N617" s="1">
        <f>MAX(Table1[[#This Row],[Regular Taxes Owed]]-Table1[[#This Row],[Effective Child Tax Credit]],0)</f>
        <v>57599.5</v>
      </c>
      <c r="O617" s="1">
        <f>MAX(MIN((Table1[[#This Row],[taxable wages]]-3000)*0.15,1000*num_kids_16_younger),0)</f>
        <v>5000</v>
      </c>
      <c r="P617" s="9">
        <f>IF(Table1[[#This Row],[Effective Child Tax Credit]]&gt;Table1[[#This Row],[Regular Taxes Owed]],Table1[[#This Row],[Additional Child Tax Credit ]]-Table1[[#This Row],[Regular Taxes Owed]],0)</f>
        <v>0</v>
      </c>
      <c r="Q6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7" s="1">
        <f>Table1[[#This Row],[Effective Additional Child Tax Credit]]+Table1[[#This Row],[Eitc]]</f>
        <v>0</v>
      </c>
      <c r="S617" s="9">
        <f>Table1[[#This Row],[Regular Taxes Owed - Effective Child Tax Credit]]-Table1[[#This Row],[Total Credits]]</f>
        <v>57599.5</v>
      </c>
      <c r="T617" s="9">
        <f>Table1[[#This Row],[taxable wages]]+interest+dividends+short_term_capital_gains+long_term_capital_gains-(charitable_donations+mortgage_interest)</f>
        <v>290000</v>
      </c>
      <c r="U617" s="9">
        <f>MAX(amt_exemption-amt_exemption_phase_out_rate*MAX(Table1[[#This Row],[taxable wages]]-amt_phase_out_begins,0),0)</f>
        <v>51225</v>
      </c>
      <c r="V6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63131</v>
      </c>
      <c r="W617" s="1">
        <f>IF(AND(Table1[[#This Row],[AMT Taxes]]&gt;Table1[[#This Row],[Regular Taxes Owed]],Table1[[#This Row],[AMT Taxes]]&gt;0),Table1[[#This Row],[AMT Taxes]]-Table1[[#This Row],[Regular Taxes Owed]],0)</f>
        <v>5531.5</v>
      </c>
      <c r="X617" s="9">
        <f>Table1[[#This Row],[Extra Taxes From Amt]]+Table1[[#This Row],[Federal Taxes Owed (No AMT)]]</f>
        <v>63131</v>
      </c>
      <c r="Y617" s="9">
        <f>IF(Table1[[#This Row],[taxable wages]]&gt;obamacare_surcharge_amount,obamacare_surcharge_percent*(Table1[[#This Row],[taxable wages]]-obamacare_surcharge_amount),0)</f>
        <v>360</v>
      </c>
      <c r="Z617" s="9">
        <f>Table1[[#This Row],[Federal Taxes Owed (Includes AMT)]]+Table1[[#This Row],[Obamacare surcharge premium]]</f>
        <v>63491</v>
      </c>
      <c r="AA617" s="9">
        <f>Table1[[#This Row],[taxable wages]]-Table1[[#This Row],[Federal Taxes Owed2]]</f>
        <v>226509</v>
      </c>
      <c r="AB617" s="51">
        <f t="shared" si="56"/>
        <v>0.35899999999999999</v>
      </c>
      <c r="AC617" s="41"/>
      <c r="AD617" s="13"/>
      <c r="AE617" s="13"/>
    </row>
    <row r="618" spans="2:31" x14ac:dyDescent="0.3">
      <c r="B618" s="41">
        <f t="shared" si="57"/>
        <v>290500</v>
      </c>
      <c r="C618" s="1">
        <f>Table1[[#This Row],[taxable wages]]</f>
        <v>290500</v>
      </c>
      <c r="D618" s="1">
        <f>Table1[[#This Row],[taxable wages]]+interest+dividends+short_term_capital_gains+long_term_capital_gains</f>
        <v>290500</v>
      </c>
      <c r="E618" s="1">
        <f>MAX(Table1[[#This Row],[earned income for EITC]:[Agi For Eitc Calc]])</f>
        <v>290500</v>
      </c>
      <c r="F618" s="1">
        <f>Table1[[#This Row],[taxable wages]]+interest+dividends+short_term_capital_gains+long_term_capital_gains-(trad_ira_contributions+MIN(student_loan_interest_cap,student_loan_interest))</f>
        <v>290500</v>
      </c>
      <c r="G618" s="1">
        <f t="shared" si="53"/>
        <v>12600</v>
      </c>
      <c r="H618" s="1">
        <f t="shared" si="54"/>
        <v>28350</v>
      </c>
      <c r="I618" s="1">
        <f>MAX(0,Table1[[#This Row],[Agi]]-Table1[[#This Row],[Exemptions]]-Table1[[#This Row],[Effective Deductions]])</f>
        <v>249550</v>
      </c>
      <c r="J6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57764.5</v>
      </c>
      <c r="K618" s="1">
        <f t="shared" si="55"/>
        <v>5000</v>
      </c>
      <c r="L618" s="1">
        <f>IF(Table1[[#This Row],[Agi]]&gt;ctc_phase_out_begins,ctc_phase_out_rate*(Table1[[#This Row],[Agi]]-ctc_phase_out_begins),0)</f>
        <v>9025</v>
      </c>
      <c r="M618" s="1">
        <f>MAX(Table1[[#This Row],[Child Tax Credit]]-Table1[[#This Row],[Child Tax Credit Phase Out]],0)</f>
        <v>0</v>
      </c>
      <c r="N618" s="1">
        <f>MAX(Table1[[#This Row],[Regular Taxes Owed]]-Table1[[#This Row],[Effective Child Tax Credit]],0)</f>
        <v>57764.5</v>
      </c>
      <c r="O618" s="1">
        <f>MAX(MIN((Table1[[#This Row],[taxable wages]]-3000)*0.15,1000*num_kids_16_younger),0)</f>
        <v>5000</v>
      </c>
      <c r="P618" s="9">
        <f>IF(Table1[[#This Row],[Effective Child Tax Credit]]&gt;Table1[[#This Row],[Regular Taxes Owed]],Table1[[#This Row],[Additional Child Tax Credit ]]-Table1[[#This Row],[Regular Taxes Owed]],0)</f>
        <v>0</v>
      </c>
      <c r="Q6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8" s="1">
        <f>Table1[[#This Row],[Effective Additional Child Tax Credit]]+Table1[[#This Row],[Eitc]]</f>
        <v>0</v>
      </c>
      <c r="S618" s="9">
        <f>Table1[[#This Row],[Regular Taxes Owed - Effective Child Tax Credit]]-Table1[[#This Row],[Total Credits]]</f>
        <v>57764.5</v>
      </c>
      <c r="T618" s="9">
        <f>Table1[[#This Row],[taxable wages]]+interest+dividends+short_term_capital_gains+long_term_capital_gains-(charitable_donations+mortgage_interest)</f>
        <v>290500</v>
      </c>
      <c r="U618" s="9">
        <f>MAX(amt_exemption-amt_exemption_phase_out_rate*MAX(Table1[[#This Row],[taxable wages]]-amt_phase_out_begins,0),0)</f>
        <v>51100</v>
      </c>
      <c r="V6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63306</v>
      </c>
      <c r="W618" s="1">
        <f>IF(AND(Table1[[#This Row],[AMT Taxes]]&gt;Table1[[#This Row],[Regular Taxes Owed]],Table1[[#This Row],[AMT Taxes]]&gt;0),Table1[[#This Row],[AMT Taxes]]-Table1[[#This Row],[Regular Taxes Owed]],0)</f>
        <v>5541.5</v>
      </c>
      <c r="X618" s="9">
        <f>Table1[[#This Row],[Extra Taxes From Amt]]+Table1[[#This Row],[Federal Taxes Owed (No AMT)]]</f>
        <v>63306</v>
      </c>
      <c r="Y618" s="9">
        <f>IF(Table1[[#This Row],[taxable wages]]&gt;obamacare_surcharge_amount,obamacare_surcharge_percent*(Table1[[#This Row],[taxable wages]]-obamacare_surcharge_amount),0)</f>
        <v>364.5</v>
      </c>
      <c r="Z618" s="9">
        <f>Table1[[#This Row],[Federal Taxes Owed (Includes AMT)]]+Table1[[#This Row],[Obamacare surcharge premium]]</f>
        <v>63670.5</v>
      </c>
      <c r="AA618" s="9">
        <f>Table1[[#This Row],[taxable wages]]-Table1[[#This Row],[Federal Taxes Owed2]]</f>
        <v>226829.5</v>
      </c>
      <c r="AB618" s="51">
        <f t="shared" si="56"/>
        <v>0.35899999999999999</v>
      </c>
      <c r="AC618" s="41"/>
      <c r="AD618" s="13"/>
      <c r="AE618" s="13"/>
    </row>
    <row r="619" spans="2:31" x14ac:dyDescent="0.3">
      <c r="B619" s="41">
        <f t="shared" si="57"/>
        <v>291000</v>
      </c>
      <c r="C619" s="1">
        <f>Table1[[#This Row],[taxable wages]]</f>
        <v>291000</v>
      </c>
      <c r="D619" s="1">
        <f>Table1[[#This Row],[taxable wages]]+interest+dividends+short_term_capital_gains+long_term_capital_gains</f>
        <v>291000</v>
      </c>
      <c r="E619" s="1">
        <f>MAX(Table1[[#This Row],[earned income for EITC]:[Agi For Eitc Calc]])</f>
        <v>291000</v>
      </c>
      <c r="F619" s="1">
        <f>Table1[[#This Row],[taxable wages]]+interest+dividends+short_term_capital_gains+long_term_capital_gains-(trad_ira_contributions+MIN(student_loan_interest_cap,student_loan_interest))</f>
        <v>291000</v>
      </c>
      <c r="G619" s="1">
        <f t="shared" si="53"/>
        <v>12600</v>
      </c>
      <c r="H619" s="1">
        <f t="shared" si="54"/>
        <v>28350</v>
      </c>
      <c r="I619" s="1">
        <f>MAX(0,Table1[[#This Row],[Agi]]-Table1[[#This Row],[Exemptions]]-Table1[[#This Row],[Effective Deductions]])</f>
        <v>250050</v>
      </c>
      <c r="J6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57929.5</v>
      </c>
      <c r="K619" s="1">
        <f t="shared" si="55"/>
        <v>5000</v>
      </c>
      <c r="L619" s="1">
        <f>IF(Table1[[#This Row],[Agi]]&gt;ctc_phase_out_begins,ctc_phase_out_rate*(Table1[[#This Row],[Agi]]-ctc_phase_out_begins),0)</f>
        <v>9050</v>
      </c>
      <c r="M619" s="1">
        <f>MAX(Table1[[#This Row],[Child Tax Credit]]-Table1[[#This Row],[Child Tax Credit Phase Out]],0)</f>
        <v>0</v>
      </c>
      <c r="N619" s="1">
        <f>MAX(Table1[[#This Row],[Regular Taxes Owed]]-Table1[[#This Row],[Effective Child Tax Credit]],0)</f>
        <v>57929.5</v>
      </c>
      <c r="O619" s="1">
        <f>MAX(MIN((Table1[[#This Row],[taxable wages]]-3000)*0.15,1000*num_kids_16_younger),0)</f>
        <v>5000</v>
      </c>
      <c r="P619" s="9">
        <f>IF(Table1[[#This Row],[Effective Child Tax Credit]]&gt;Table1[[#This Row],[Regular Taxes Owed]],Table1[[#This Row],[Additional Child Tax Credit ]]-Table1[[#This Row],[Regular Taxes Owed]],0)</f>
        <v>0</v>
      </c>
      <c r="Q6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19" s="1">
        <f>Table1[[#This Row],[Effective Additional Child Tax Credit]]+Table1[[#This Row],[Eitc]]</f>
        <v>0</v>
      </c>
      <c r="S619" s="9">
        <f>Table1[[#This Row],[Regular Taxes Owed - Effective Child Tax Credit]]-Table1[[#This Row],[Total Credits]]</f>
        <v>57929.5</v>
      </c>
      <c r="T619" s="9">
        <f>Table1[[#This Row],[taxable wages]]+interest+dividends+short_term_capital_gains+long_term_capital_gains-(charitable_donations+mortgage_interest)</f>
        <v>291000</v>
      </c>
      <c r="U619" s="9">
        <f>MAX(amt_exemption-amt_exemption_phase_out_rate*MAX(Table1[[#This Row],[taxable wages]]-amt_phase_out_begins,0),0)</f>
        <v>50975</v>
      </c>
      <c r="V6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63481</v>
      </c>
      <c r="W619" s="1">
        <f>IF(AND(Table1[[#This Row],[AMT Taxes]]&gt;Table1[[#This Row],[Regular Taxes Owed]],Table1[[#This Row],[AMT Taxes]]&gt;0),Table1[[#This Row],[AMT Taxes]]-Table1[[#This Row],[Regular Taxes Owed]],0)</f>
        <v>5551.5</v>
      </c>
      <c r="X619" s="9">
        <f>Table1[[#This Row],[Extra Taxes From Amt]]+Table1[[#This Row],[Federal Taxes Owed (No AMT)]]</f>
        <v>63481</v>
      </c>
      <c r="Y619" s="9">
        <f>IF(Table1[[#This Row],[taxable wages]]&gt;obamacare_surcharge_amount,obamacare_surcharge_percent*(Table1[[#This Row],[taxable wages]]-obamacare_surcharge_amount),0)</f>
        <v>369</v>
      </c>
      <c r="Z619" s="9">
        <f>Table1[[#This Row],[Federal Taxes Owed (Includes AMT)]]+Table1[[#This Row],[Obamacare surcharge premium]]</f>
        <v>63850</v>
      </c>
      <c r="AA619" s="9">
        <f>Table1[[#This Row],[taxable wages]]-Table1[[#This Row],[Federal Taxes Owed2]]</f>
        <v>227150</v>
      </c>
      <c r="AB619" s="51">
        <f t="shared" si="56"/>
        <v>0.35899999999999999</v>
      </c>
      <c r="AC619" s="41"/>
      <c r="AD619" s="13"/>
      <c r="AE619" s="13"/>
    </row>
    <row r="620" spans="2:31" x14ac:dyDescent="0.3">
      <c r="B620" s="41">
        <f t="shared" si="57"/>
        <v>291500</v>
      </c>
      <c r="C620" s="1">
        <f>Table1[[#This Row],[taxable wages]]</f>
        <v>291500</v>
      </c>
      <c r="D620" s="1">
        <f>Table1[[#This Row],[taxable wages]]+interest+dividends+short_term_capital_gains+long_term_capital_gains</f>
        <v>291500</v>
      </c>
      <c r="E620" s="1">
        <f>MAX(Table1[[#This Row],[earned income for EITC]:[Agi For Eitc Calc]])</f>
        <v>291500</v>
      </c>
      <c r="F620" s="1">
        <f>Table1[[#This Row],[taxable wages]]+interest+dividends+short_term_capital_gains+long_term_capital_gains-(trad_ira_contributions+MIN(student_loan_interest_cap,student_loan_interest))</f>
        <v>291500</v>
      </c>
      <c r="G620" s="1">
        <f t="shared" si="53"/>
        <v>12600</v>
      </c>
      <c r="H620" s="1">
        <f t="shared" si="54"/>
        <v>28350</v>
      </c>
      <c r="I620" s="1">
        <f>MAX(0,Table1[[#This Row],[Agi]]-Table1[[#This Row],[Exemptions]]-Table1[[#This Row],[Effective Deductions]])</f>
        <v>250550</v>
      </c>
      <c r="J6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58094.5</v>
      </c>
      <c r="K620" s="1">
        <f t="shared" si="55"/>
        <v>5000</v>
      </c>
      <c r="L620" s="1">
        <f>IF(Table1[[#This Row],[Agi]]&gt;ctc_phase_out_begins,ctc_phase_out_rate*(Table1[[#This Row],[Agi]]-ctc_phase_out_begins),0)</f>
        <v>9075</v>
      </c>
      <c r="M620" s="1">
        <f>MAX(Table1[[#This Row],[Child Tax Credit]]-Table1[[#This Row],[Child Tax Credit Phase Out]],0)</f>
        <v>0</v>
      </c>
      <c r="N620" s="1">
        <f>MAX(Table1[[#This Row],[Regular Taxes Owed]]-Table1[[#This Row],[Effective Child Tax Credit]],0)</f>
        <v>58094.5</v>
      </c>
      <c r="O620" s="1">
        <f>MAX(MIN((Table1[[#This Row],[taxable wages]]-3000)*0.15,1000*num_kids_16_younger),0)</f>
        <v>5000</v>
      </c>
      <c r="P620" s="9">
        <f>IF(Table1[[#This Row],[Effective Child Tax Credit]]&gt;Table1[[#This Row],[Regular Taxes Owed]],Table1[[#This Row],[Additional Child Tax Credit ]]-Table1[[#This Row],[Regular Taxes Owed]],0)</f>
        <v>0</v>
      </c>
      <c r="Q6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0" s="1">
        <f>Table1[[#This Row],[Effective Additional Child Tax Credit]]+Table1[[#This Row],[Eitc]]</f>
        <v>0</v>
      </c>
      <c r="S620" s="9">
        <f>Table1[[#This Row],[Regular Taxes Owed - Effective Child Tax Credit]]-Table1[[#This Row],[Total Credits]]</f>
        <v>58094.5</v>
      </c>
      <c r="T620" s="9">
        <f>Table1[[#This Row],[taxable wages]]+interest+dividends+short_term_capital_gains+long_term_capital_gains-(charitable_donations+mortgage_interest)</f>
        <v>291500</v>
      </c>
      <c r="U620" s="9">
        <f>MAX(amt_exemption-amt_exemption_phase_out_rate*MAX(Table1[[#This Row],[taxable wages]]-amt_phase_out_begins,0),0)</f>
        <v>50850</v>
      </c>
      <c r="V6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63656</v>
      </c>
      <c r="W620" s="1">
        <f>IF(AND(Table1[[#This Row],[AMT Taxes]]&gt;Table1[[#This Row],[Regular Taxes Owed]],Table1[[#This Row],[AMT Taxes]]&gt;0),Table1[[#This Row],[AMT Taxes]]-Table1[[#This Row],[Regular Taxes Owed]],0)</f>
        <v>5561.5</v>
      </c>
      <c r="X620" s="9">
        <f>Table1[[#This Row],[Extra Taxes From Amt]]+Table1[[#This Row],[Federal Taxes Owed (No AMT)]]</f>
        <v>63656</v>
      </c>
      <c r="Y620" s="9">
        <f>IF(Table1[[#This Row],[taxable wages]]&gt;obamacare_surcharge_amount,obamacare_surcharge_percent*(Table1[[#This Row],[taxable wages]]-obamacare_surcharge_amount),0)</f>
        <v>373.5</v>
      </c>
      <c r="Z620" s="9">
        <f>Table1[[#This Row],[Federal Taxes Owed (Includes AMT)]]+Table1[[#This Row],[Obamacare surcharge premium]]</f>
        <v>64029.5</v>
      </c>
      <c r="AA620" s="9">
        <f>Table1[[#This Row],[taxable wages]]-Table1[[#This Row],[Federal Taxes Owed2]]</f>
        <v>227470.5</v>
      </c>
      <c r="AB620" s="51">
        <f t="shared" si="56"/>
        <v>0.35899999999999999</v>
      </c>
      <c r="AC620" s="41"/>
      <c r="AD620" s="13"/>
      <c r="AE620" s="13"/>
    </row>
    <row r="621" spans="2:31" x14ac:dyDescent="0.3">
      <c r="B621" s="41">
        <f t="shared" si="57"/>
        <v>292000</v>
      </c>
      <c r="C621" s="1">
        <f>Table1[[#This Row],[taxable wages]]</f>
        <v>292000</v>
      </c>
      <c r="D621" s="1">
        <f>Table1[[#This Row],[taxable wages]]+interest+dividends+short_term_capital_gains+long_term_capital_gains</f>
        <v>292000</v>
      </c>
      <c r="E621" s="1">
        <f>MAX(Table1[[#This Row],[earned income for EITC]:[Agi For Eitc Calc]])</f>
        <v>292000</v>
      </c>
      <c r="F621" s="1">
        <f>Table1[[#This Row],[taxable wages]]+interest+dividends+short_term_capital_gains+long_term_capital_gains-(trad_ira_contributions+MIN(student_loan_interest_cap,student_loan_interest))</f>
        <v>292000</v>
      </c>
      <c r="G621" s="1">
        <f t="shared" si="53"/>
        <v>12600</v>
      </c>
      <c r="H621" s="1">
        <f t="shared" si="54"/>
        <v>28350</v>
      </c>
      <c r="I621" s="1">
        <f>MAX(0,Table1[[#This Row],[Agi]]-Table1[[#This Row],[Exemptions]]-Table1[[#This Row],[Effective Deductions]])</f>
        <v>251050</v>
      </c>
      <c r="J6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58259.5</v>
      </c>
      <c r="K621" s="1">
        <f t="shared" si="55"/>
        <v>5000</v>
      </c>
      <c r="L621" s="1">
        <f>IF(Table1[[#This Row],[Agi]]&gt;ctc_phase_out_begins,ctc_phase_out_rate*(Table1[[#This Row],[Agi]]-ctc_phase_out_begins),0)</f>
        <v>9100</v>
      </c>
      <c r="M621" s="1">
        <f>MAX(Table1[[#This Row],[Child Tax Credit]]-Table1[[#This Row],[Child Tax Credit Phase Out]],0)</f>
        <v>0</v>
      </c>
      <c r="N621" s="1">
        <f>MAX(Table1[[#This Row],[Regular Taxes Owed]]-Table1[[#This Row],[Effective Child Tax Credit]],0)</f>
        <v>58259.5</v>
      </c>
      <c r="O621" s="1">
        <f>MAX(MIN((Table1[[#This Row],[taxable wages]]-3000)*0.15,1000*num_kids_16_younger),0)</f>
        <v>5000</v>
      </c>
      <c r="P621" s="9">
        <f>IF(Table1[[#This Row],[Effective Child Tax Credit]]&gt;Table1[[#This Row],[Regular Taxes Owed]],Table1[[#This Row],[Additional Child Tax Credit ]]-Table1[[#This Row],[Regular Taxes Owed]],0)</f>
        <v>0</v>
      </c>
      <c r="Q6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1" s="1">
        <f>Table1[[#This Row],[Effective Additional Child Tax Credit]]+Table1[[#This Row],[Eitc]]</f>
        <v>0</v>
      </c>
      <c r="S621" s="9">
        <f>Table1[[#This Row],[Regular Taxes Owed - Effective Child Tax Credit]]-Table1[[#This Row],[Total Credits]]</f>
        <v>58259.5</v>
      </c>
      <c r="T621" s="9">
        <f>Table1[[#This Row],[taxable wages]]+interest+dividends+short_term_capital_gains+long_term_capital_gains-(charitable_donations+mortgage_interest)</f>
        <v>292000</v>
      </c>
      <c r="U621" s="9">
        <f>MAX(amt_exemption-amt_exemption_phase_out_rate*MAX(Table1[[#This Row],[taxable wages]]-amt_phase_out_begins,0),0)</f>
        <v>50725</v>
      </c>
      <c r="V6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63831</v>
      </c>
      <c r="W621" s="1">
        <f>IF(AND(Table1[[#This Row],[AMT Taxes]]&gt;Table1[[#This Row],[Regular Taxes Owed]],Table1[[#This Row],[AMT Taxes]]&gt;0),Table1[[#This Row],[AMT Taxes]]-Table1[[#This Row],[Regular Taxes Owed]],0)</f>
        <v>5571.5</v>
      </c>
      <c r="X621" s="9">
        <f>Table1[[#This Row],[Extra Taxes From Amt]]+Table1[[#This Row],[Federal Taxes Owed (No AMT)]]</f>
        <v>63831</v>
      </c>
      <c r="Y621" s="9">
        <f>IF(Table1[[#This Row],[taxable wages]]&gt;obamacare_surcharge_amount,obamacare_surcharge_percent*(Table1[[#This Row],[taxable wages]]-obamacare_surcharge_amount),0)</f>
        <v>377.99999999999994</v>
      </c>
      <c r="Z621" s="9">
        <f>Table1[[#This Row],[Federal Taxes Owed (Includes AMT)]]+Table1[[#This Row],[Obamacare surcharge premium]]</f>
        <v>64209</v>
      </c>
      <c r="AA621" s="9">
        <f>Table1[[#This Row],[taxable wages]]-Table1[[#This Row],[Federal Taxes Owed2]]</f>
        <v>227791</v>
      </c>
      <c r="AB621" s="51">
        <f t="shared" si="56"/>
        <v>0.35899999999999999</v>
      </c>
      <c r="AC621" s="41"/>
      <c r="AD621" s="13"/>
      <c r="AE621" s="13"/>
    </row>
    <row r="622" spans="2:31" x14ac:dyDescent="0.3">
      <c r="B622" s="41">
        <f t="shared" si="57"/>
        <v>292500</v>
      </c>
      <c r="C622" s="1">
        <f>Table1[[#This Row],[taxable wages]]</f>
        <v>292500</v>
      </c>
      <c r="D622" s="1">
        <f>Table1[[#This Row],[taxable wages]]+interest+dividends+short_term_capital_gains+long_term_capital_gains</f>
        <v>292500</v>
      </c>
      <c r="E622" s="1">
        <f>MAX(Table1[[#This Row],[earned income for EITC]:[Agi For Eitc Calc]])</f>
        <v>292500</v>
      </c>
      <c r="F622" s="1">
        <f>Table1[[#This Row],[taxable wages]]+interest+dividends+short_term_capital_gains+long_term_capital_gains-(trad_ira_contributions+MIN(student_loan_interest_cap,student_loan_interest))</f>
        <v>292500</v>
      </c>
      <c r="G622" s="1">
        <f t="shared" si="53"/>
        <v>12600</v>
      </c>
      <c r="H622" s="1">
        <f t="shared" si="54"/>
        <v>28350</v>
      </c>
      <c r="I622" s="1">
        <f>MAX(0,Table1[[#This Row],[Agi]]-Table1[[#This Row],[Exemptions]]-Table1[[#This Row],[Effective Deductions]])</f>
        <v>251550</v>
      </c>
      <c r="J6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58424.5</v>
      </c>
      <c r="K622" s="1">
        <f t="shared" si="55"/>
        <v>5000</v>
      </c>
      <c r="L622" s="1">
        <f>IF(Table1[[#This Row],[Agi]]&gt;ctc_phase_out_begins,ctc_phase_out_rate*(Table1[[#This Row],[Agi]]-ctc_phase_out_begins),0)</f>
        <v>9125</v>
      </c>
      <c r="M622" s="1">
        <f>MAX(Table1[[#This Row],[Child Tax Credit]]-Table1[[#This Row],[Child Tax Credit Phase Out]],0)</f>
        <v>0</v>
      </c>
      <c r="N622" s="1">
        <f>MAX(Table1[[#This Row],[Regular Taxes Owed]]-Table1[[#This Row],[Effective Child Tax Credit]],0)</f>
        <v>58424.5</v>
      </c>
      <c r="O622" s="1">
        <f>MAX(MIN((Table1[[#This Row],[taxable wages]]-3000)*0.15,1000*num_kids_16_younger),0)</f>
        <v>5000</v>
      </c>
      <c r="P622" s="9">
        <f>IF(Table1[[#This Row],[Effective Child Tax Credit]]&gt;Table1[[#This Row],[Regular Taxes Owed]],Table1[[#This Row],[Additional Child Tax Credit ]]-Table1[[#This Row],[Regular Taxes Owed]],0)</f>
        <v>0</v>
      </c>
      <c r="Q6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2" s="1">
        <f>Table1[[#This Row],[Effective Additional Child Tax Credit]]+Table1[[#This Row],[Eitc]]</f>
        <v>0</v>
      </c>
      <c r="S622" s="9">
        <f>Table1[[#This Row],[Regular Taxes Owed - Effective Child Tax Credit]]-Table1[[#This Row],[Total Credits]]</f>
        <v>58424.5</v>
      </c>
      <c r="T622" s="9">
        <f>Table1[[#This Row],[taxable wages]]+interest+dividends+short_term_capital_gains+long_term_capital_gains-(charitable_donations+mortgage_interest)</f>
        <v>292500</v>
      </c>
      <c r="U622" s="9">
        <f>MAX(amt_exemption-amt_exemption_phase_out_rate*MAX(Table1[[#This Row],[taxable wages]]-amt_phase_out_begins,0),0)</f>
        <v>50600</v>
      </c>
      <c r="V6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64006</v>
      </c>
      <c r="W622" s="1">
        <f>IF(AND(Table1[[#This Row],[AMT Taxes]]&gt;Table1[[#This Row],[Regular Taxes Owed]],Table1[[#This Row],[AMT Taxes]]&gt;0),Table1[[#This Row],[AMT Taxes]]-Table1[[#This Row],[Regular Taxes Owed]],0)</f>
        <v>5581.5</v>
      </c>
      <c r="X622" s="9">
        <f>Table1[[#This Row],[Extra Taxes From Amt]]+Table1[[#This Row],[Federal Taxes Owed (No AMT)]]</f>
        <v>64006</v>
      </c>
      <c r="Y622" s="9">
        <f>IF(Table1[[#This Row],[taxable wages]]&gt;obamacare_surcharge_amount,obamacare_surcharge_percent*(Table1[[#This Row],[taxable wages]]-obamacare_surcharge_amount),0)</f>
        <v>382.49999999999994</v>
      </c>
      <c r="Z622" s="9">
        <f>Table1[[#This Row],[Federal Taxes Owed (Includes AMT)]]+Table1[[#This Row],[Obamacare surcharge premium]]</f>
        <v>64388.5</v>
      </c>
      <c r="AA622" s="9">
        <f>Table1[[#This Row],[taxable wages]]-Table1[[#This Row],[Federal Taxes Owed2]]</f>
        <v>228111.5</v>
      </c>
      <c r="AB622" s="51">
        <f t="shared" si="56"/>
        <v>0.35899999999999999</v>
      </c>
      <c r="AC622" s="41"/>
      <c r="AD622" s="13"/>
      <c r="AE622" s="13"/>
    </row>
    <row r="623" spans="2:31" x14ac:dyDescent="0.3">
      <c r="B623" s="41">
        <f t="shared" si="57"/>
        <v>293000</v>
      </c>
      <c r="C623" s="1">
        <f>Table1[[#This Row],[taxable wages]]</f>
        <v>293000</v>
      </c>
      <c r="D623" s="1">
        <f>Table1[[#This Row],[taxable wages]]+interest+dividends+short_term_capital_gains+long_term_capital_gains</f>
        <v>293000</v>
      </c>
      <c r="E623" s="1">
        <f>MAX(Table1[[#This Row],[earned income for EITC]:[Agi For Eitc Calc]])</f>
        <v>293000</v>
      </c>
      <c r="F623" s="1">
        <f>Table1[[#This Row],[taxable wages]]+interest+dividends+short_term_capital_gains+long_term_capital_gains-(trad_ira_contributions+MIN(student_loan_interest_cap,student_loan_interest))</f>
        <v>293000</v>
      </c>
      <c r="G623" s="1">
        <f t="shared" si="53"/>
        <v>12600</v>
      </c>
      <c r="H623" s="1">
        <f t="shared" si="54"/>
        <v>28350</v>
      </c>
      <c r="I623" s="1">
        <f>MAX(0,Table1[[#This Row],[Agi]]-Table1[[#This Row],[Exemptions]]-Table1[[#This Row],[Effective Deductions]])</f>
        <v>252050</v>
      </c>
      <c r="J6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58589.5</v>
      </c>
      <c r="K623" s="1">
        <f t="shared" si="55"/>
        <v>5000</v>
      </c>
      <c r="L623" s="1">
        <f>IF(Table1[[#This Row],[Agi]]&gt;ctc_phase_out_begins,ctc_phase_out_rate*(Table1[[#This Row],[Agi]]-ctc_phase_out_begins),0)</f>
        <v>9150</v>
      </c>
      <c r="M623" s="1">
        <f>MAX(Table1[[#This Row],[Child Tax Credit]]-Table1[[#This Row],[Child Tax Credit Phase Out]],0)</f>
        <v>0</v>
      </c>
      <c r="N623" s="1">
        <f>MAX(Table1[[#This Row],[Regular Taxes Owed]]-Table1[[#This Row],[Effective Child Tax Credit]],0)</f>
        <v>58589.5</v>
      </c>
      <c r="O623" s="1">
        <f>MAX(MIN((Table1[[#This Row],[taxable wages]]-3000)*0.15,1000*num_kids_16_younger),0)</f>
        <v>5000</v>
      </c>
      <c r="P623" s="9">
        <f>IF(Table1[[#This Row],[Effective Child Tax Credit]]&gt;Table1[[#This Row],[Regular Taxes Owed]],Table1[[#This Row],[Additional Child Tax Credit ]]-Table1[[#This Row],[Regular Taxes Owed]],0)</f>
        <v>0</v>
      </c>
      <c r="Q6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3" s="1">
        <f>Table1[[#This Row],[Effective Additional Child Tax Credit]]+Table1[[#This Row],[Eitc]]</f>
        <v>0</v>
      </c>
      <c r="S623" s="9">
        <f>Table1[[#This Row],[Regular Taxes Owed - Effective Child Tax Credit]]-Table1[[#This Row],[Total Credits]]</f>
        <v>58589.5</v>
      </c>
      <c r="T623" s="9">
        <f>Table1[[#This Row],[taxable wages]]+interest+dividends+short_term_capital_gains+long_term_capital_gains-(charitable_donations+mortgage_interest)</f>
        <v>293000</v>
      </c>
      <c r="U623" s="9">
        <f>MAX(amt_exemption-amt_exemption_phase_out_rate*MAX(Table1[[#This Row],[taxable wages]]-amt_phase_out_begins,0),0)</f>
        <v>50475</v>
      </c>
      <c r="V6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64181</v>
      </c>
      <c r="W623" s="1">
        <f>IF(AND(Table1[[#This Row],[AMT Taxes]]&gt;Table1[[#This Row],[Regular Taxes Owed]],Table1[[#This Row],[AMT Taxes]]&gt;0),Table1[[#This Row],[AMT Taxes]]-Table1[[#This Row],[Regular Taxes Owed]],0)</f>
        <v>5591.5</v>
      </c>
      <c r="X623" s="9">
        <f>Table1[[#This Row],[Extra Taxes From Amt]]+Table1[[#This Row],[Federal Taxes Owed (No AMT)]]</f>
        <v>64181</v>
      </c>
      <c r="Y623" s="9">
        <f>IF(Table1[[#This Row],[taxable wages]]&gt;obamacare_surcharge_amount,obamacare_surcharge_percent*(Table1[[#This Row],[taxable wages]]-obamacare_surcharge_amount),0)</f>
        <v>386.99999999999994</v>
      </c>
      <c r="Z623" s="9">
        <f>Table1[[#This Row],[Federal Taxes Owed (Includes AMT)]]+Table1[[#This Row],[Obamacare surcharge premium]]</f>
        <v>64568</v>
      </c>
      <c r="AA623" s="9">
        <f>Table1[[#This Row],[taxable wages]]-Table1[[#This Row],[Federal Taxes Owed2]]</f>
        <v>228432</v>
      </c>
      <c r="AB623" s="51">
        <f t="shared" si="56"/>
        <v>0.35899999999999999</v>
      </c>
      <c r="AC623" s="41"/>
      <c r="AD623" s="13"/>
      <c r="AE623" s="13"/>
    </row>
    <row r="624" spans="2:31" x14ac:dyDescent="0.3">
      <c r="B624" s="41">
        <f t="shared" si="57"/>
        <v>293500</v>
      </c>
      <c r="C624" s="1">
        <f>Table1[[#This Row],[taxable wages]]</f>
        <v>293500</v>
      </c>
      <c r="D624" s="1">
        <f>Table1[[#This Row],[taxable wages]]+interest+dividends+short_term_capital_gains+long_term_capital_gains</f>
        <v>293500</v>
      </c>
      <c r="E624" s="1">
        <f>MAX(Table1[[#This Row],[earned income for EITC]:[Agi For Eitc Calc]])</f>
        <v>293500</v>
      </c>
      <c r="F624" s="1">
        <f>Table1[[#This Row],[taxable wages]]+interest+dividends+short_term_capital_gains+long_term_capital_gains-(trad_ira_contributions+MIN(student_loan_interest_cap,student_loan_interest))</f>
        <v>293500</v>
      </c>
      <c r="G624" s="1">
        <f t="shared" si="53"/>
        <v>12600</v>
      </c>
      <c r="H624" s="1">
        <f t="shared" si="54"/>
        <v>28350</v>
      </c>
      <c r="I624" s="1">
        <f>MAX(0,Table1[[#This Row],[Agi]]-Table1[[#This Row],[Exemptions]]-Table1[[#This Row],[Effective Deductions]])</f>
        <v>252550</v>
      </c>
      <c r="J6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58754.5</v>
      </c>
      <c r="K624" s="1">
        <f t="shared" si="55"/>
        <v>5000</v>
      </c>
      <c r="L624" s="1">
        <f>IF(Table1[[#This Row],[Agi]]&gt;ctc_phase_out_begins,ctc_phase_out_rate*(Table1[[#This Row],[Agi]]-ctc_phase_out_begins),0)</f>
        <v>9175</v>
      </c>
      <c r="M624" s="1">
        <f>MAX(Table1[[#This Row],[Child Tax Credit]]-Table1[[#This Row],[Child Tax Credit Phase Out]],0)</f>
        <v>0</v>
      </c>
      <c r="N624" s="1">
        <f>MAX(Table1[[#This Row],[Regular Taxes Owed]]-Table1[[#This Row],[Effective Child Tax Credit]],0)</f>
        <v>58754.5</v>
      </c>
      <c r="O624" s="1">
        <f>MAX(MIN((Table1[[#This Row],[taxable wages]]-3000)*0.15,1000*num_kids_16_younger),0)</f>
        <v>5000</v>
      </c>
      <c r="P624" s="9">
        <f>IF(Table1[[#This Row],[Effective Child Tax Credit]]&gt;Table1[[#This Row],[Regular Taxes Owed]],Table1[[#This Row],[Additional Child Tax Credit ]]-Table1[[#This Row],[Regular Taxes Owed]],0)</f>
        <v>0</v>
      </c>
      <c r="Q6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4" s="1">
        <f>Table1[[#This Row],[Effective Additional Child Tax Credit]]+Table1[[#This Row],[Eitc]]</f>
        <v>0</v>
      </c>
      <c r="S624" s="9">
        <f>Table1[[#This Row],[Regular Taxes Owed - Effective Child Tax Credit]]-Table1[[#This Row],[Total Credits]]</f>
        <v>58754.5</v>
      </c>
      <c r="T624" s="9">
        <f>Table1[[#This Row],[taxable wages]]+interest+dividends+short_term_capital_gains+long_term_capital_gains-(charitable_donations+mortgage_interest)</f>
        <v>293500</v>
      </c>
      <c r="U624" s="9">
        <f>MAX(amt_exemption-amt_exemption_phase_out_rate*MAX(Table1[[#This Row],[taxable wages]]-amt_phase_out_begins,0),0)</f>
        <v>50350</v>
      </c>
      <c r="V6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64356</v>
      </c>
      <c r="W624" s="1">
        <f>IF(AND(Table1[[#This Row],[AMT Taxes]]&gt;Table1[[#This Row],[Regular Taxes Owed]],Table1[[#This Row],[AMT Taxes]]&gt;0),Table1[[#This Row],[AMT Taxes]]-Table1[[#This Row],[Regular Taxes Owed]],0)</f>
        <v>5601.5</v>
      </c>
      <c r="X624" s="9">
        <f>Table1[[#This Row],[Extra Taxes From Amt]]+Table1[[#This Row],[Federal Taxes Owed (No AMT)]]</f>
        <v>64356</v>
      </c>
      <c r="Y624" s="9">
        <f>IF(Table1[[#This Row],[taxable wages]]&gt;obamacare_surcharge_amount,obamacare_surcharge_percent*(Table1[[#This Row],[taxable wages]]-obamacare_surcharge_amount),0)</f>
        <v>391.49999999999994</v>
      </c>
      <c r="Z624" s="9">
        <f>Table1[[#This Row],[Federal Taxes Owed (Includes AMT)]]+Table1[[#This Row],[Obamacare surcharge premium]]</f>
        <v>64747.5</v>
      </c>
      <c r="AA624" s="9">
        <f>Table1[[#This Row],[taxable wages]]-Table1[[#This Row],[Federal Taxes Owed2]]</f>
        <v>228752.5</v>
      </c>
      <c r="AB624" s="51">
        <f t="shared" si="56"/>
        <v>0.35899999999999999</v>
      </c>
      <c r="AC624" s="41"/>
      <c r="AD624" s="13"/>
      <c r="AE624" s="13"/>
    </row>
    <row r="625" spans="2:31" x14ac:dyDescent="0.3">
      <c r="B625" s="41">
        <f t="shared" si="57"/>
        <v>294000</v>
      </c>
      <c r="C625" s="1">
        <f>Table1[[#This Row],[taxable wages]]</f>
        <v>294000</v>
      </c>
      <c r="D625" s="1">
        <f>Table1[[#This Row],[taxable wages]]+interest+dividends+short_term_capital_gains+long_term_capital_gains</f>
        <v>294000</v>
      </c>
      <c r="E625" s="1">
        <f>MAX(Table1[[#This Row],[earned income for EITC]:[Agi For Eitc Calc]])</f>
        <v>294000</v>
      </c>
      <c r="F625" s="1">
        <f>Table1[[#This Row],[taxable wages]]+interest+dividends+short_term_capital_gains+long_term_capital_gains-(trad_ira_contributions+MIN(student_loan_interest_cap,student_loan_interest))</f>
        <v>294000</v>
      </c>
      <c r="G625" s="1">
        <f t="shared" si="53"/>
        <v>12600</v>
      </c>
      <c r="H625" s="1">
        <f t="shared" si="54"/>
        <v>28350</v>
      </c>
      <c r="I625" s="1">
        <f>MAX(0,Table1[[#This Row],[Agi]]-Table1[[#This Row],[Exemptions]]-Table1[[#This Row],[Effective Deductions]])</f>
        <v>253050</v>
      </c>
      <c r="J6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58919.5</v>
      </c>
      <c r="K625" s="1">
        <f t="shared" si="55"/>
        <v>5000</v>
      </c>
      <c r="L625" s="1">
        <f>IF(Table1[[#This Row],[Agi]]&gt;ctc_phase_out_begins,ctc_phase_out_rate*(Table1[[#This Row],[Agi]]-ctc_phase_out_begins),0)</f>
        <v>9200</v>
      </c>
      <c r="M625" s="1">
        <f>MAX(Table1[[#This Row],[Child Tax Credit]]-Table1[[#This Row],[Child Tax Credit Phase Out]],0)</f>
        <v>0</v>
      </c>
      <c r="N625" s="1">
        <f>MAX(Table1[[#This Row],[Regular Taxes Owed]]-Table1[[#This Row],[Effective Child Tax Credit]],0)</f>
        <v>58919.5</v>
      </c>
      <c r="O625" s="1">
        <f>MAX(MIN((Table1[[#This Row],[taxable wages]]-3000)*0.15,1000*num_kids_16_younger),0)</f>
        <v>5000</v>
      </c>
      <c r="P625" s="9">
        <f>IF(Table1[[#This Row],[Effective Child Tax Credit]]&gt;Table1[[#This Row],[Regular Taxes Owed]],Table1[[#This Row],[Additional Child Tax Credit ]]-Table1[[#This Row],[Regular Taxes Owed]],0)</f>
        <v>0</v>
      </c>
      <c r="Q6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5" s="1">
        <f>Table1[[#This Row],[Effective Additional Child Tax Credit]]+Table1[[#This Row],[Eitc]]</f>
        <v>0</v>
      </c>
      <c r="S625" s="9">
        <f>Table1[[#This Row],[Regular Taxes Owed - Effective Child Tax Credit]]-Table1[[#This Row],[Total Credits]]</f>
        <v>58919.5</v>
      </c>
      <c r="T625" s="9">
        <f>Table1[[#This Row],[taxable wages]]+interest+dividends+short_term_capital_gains+long_term_capital_gains-(charitable_donations+mortgage_interest)</f>
        <v>294000</v>
      </c>
      <c r="U625" s="9">
        <f>MAX(amt_exemption-amt_exemption_phase_out_rate*MAX(Table1[[#This Row],[taxable wages]]-amt_phase_out_begins,0),0)</f>
        <v>50225</v>
      </c>
      <c r="V6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64531</v>
      </c>
      <c r="W625" s="1">
        <f>IF(AND(Table1[[#This Row],[AMT Taxes]]&gt;Table1[[#This Row],[Regular Taxes Owed]],Table1[[#This Row],[AMT Taxes]]&gt;0),Table1[[#This Row],[AMT Taxes]]-Table1[[#This Row],[Regular Taxes Owed]],0)</f>
        <v>5611.5</v>
      </c>
      <c r="X625" s="9">
        <f>Table1[[#This Row],[Extra Taxes From Amt]]+Table1[[#This Row],[Federal Taxes Owed (No AMT)]]</f>
        <v>64531</v>
      </c>
      <c r="Y625" s="9">
        <f>IF(Table1[[#This Row],[taxable wages]]&gt;obamacare_surcharge_amount,obamacare_surcharge_percent*(Table1[[#This Row],[taxable wages]]-obamacare_surcharge_amount),0)</f>
        <v>395.99999999999994</v>
      </c>
      <c r="Z625" s="9">
        <f>Table1[[#This Row],[Federal Taxes Owed (Includes AMT)]]+Table1[[#This Row],[Obamacare surcharge premium]]</f>
        <v>64927</v>
      </c>
      <c r="AA625" s="9">
        <f>Table1[[#This Row],[taxable wages]]-Table1[[#This Row],[Federal Taxes Owed2]]</f>
        <v>229073</v>
      </c>
      <c r="AB625" s="51">
        <f t="shared" si="56"/>
        <v>0.35899999999999999</v>
      </c>
      <c r="AC625" s="41"/>
      <c r="AD625" s="13"/>
      <c r="AE625" s="13"/>
    </row>
    <row r="626" spans="2:31" x14ac:dyDescent="0.3">
      <c r="B626" s="41">
        <f t="shared" si="57"/>
        <v>294500</v>
      </c>
      <c r="C626" s="1">
        <f>Table1[[#This Row],[taxable wages]]</f>
        <v>294500</v>
      </c>
      <c r="D626" s="1">
        <f>Table1[[#This Row],[taxable wages]]+interest+dividends+short_term_capital_gains+long_term_capital_gains</f>
        <v>294500</v>
      </c>
      <c r="E626" s="1">
        <f>MAX(Table1[[#This Row],[earned income for EITC]:[Agi For Eitc Calc]])</f>
        <v>294500</v>
      </c>
      <c r="F626" s="1">
        <f>Table1[[#This Row],[taxable wages]]+interest+dividends+short_term_capital_gains+long_term_capital_gains-(trad_ira_contributions+MIN(student_loan_interest_cap,student_loan_interest))</f>
        <v>294500</v>
      </c>
      <c r="G626" s="1">
        <f t="shared" si="53"/>
        <v>12600</v>
      </c>
      <c r="H626" s="1">
        <f t="shared" si="54"/>
        <v>28350</v>
      </c>
      <c r="I626" s="1">
        <f>MAX(0,Table1[[#This Row],[Agi]]-Table1[[#This Row],[Exemptions]]-Table1[[#This Row],[Effective Deductions]])</f>
        <v>253550</v>
      </c>
      <c r="J6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59084.5</v>
      </c>
      <c r="K626" s="1">
        <f t="shared" si="55"/>
        <v>5000</v>
      </c>
      <c r="L626" s="1">
        <f>IF(Table1[[#This Row],[Agi]]&gt;ctc_phase_out_begins,ctc_phase_out_rate*(Table1[[#This Row],[Agi]]-ctc_phase_out_begins),0)</f>
        <v>9225</v>
      </c>
      <c r="M626" s="1">
        <f>MAX(Table1[[#This Row],[Child Tax Credit]]-Table1[[#This Row],[Child Tax Credit Phase Out]],0)</f>
        <v>0</v>
      </c>
      <c r="N626" s="1">
        <f>MAX(Table1[[#This Row],[Regular Taxes Owed]]-Table1[[#This Row],[Effective Child Tax Credit]],0)</f>
        <v>59084.5</v>
      </c>
      <c r="O626" s="1">
        <f>MAX(MIN((Table1[[#This Row],[taxable wages]]-3000)*0.15,1000*num_kids_16_younger),0)</f>
        <v>5000</v>
      </c>
      <c r="P626" s="9">
        <f>IF(Table1[[#This Row],[Effective Child Tax Credit]]&gt;Table1[[#This Row],[Regular Taxes Owed]],Table1[[#This Row],[Additional Child Tax Credit ]]-Table1[[#This Row],[Regular Taxes Owed]],0)</f>
        <v>0</v>
      </c>
      <c r="Q6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6" s="1">
        <f>Table1[[#This Row],[Effective Additional Child Tax Credit]]+Table1[[#This Row],[Eitc]]</f>
        <v>0</v>
      </c>
      <c r="S626" s="9">
        <f>Table1[[#This Row],[Regular Taxes Owed - Effective Child Tax Credit]]-Table1[[#This Row],[Total Credits]]</f>
        <v>59084.5</v>
      </c>
      <c r="T626" s="9">
        <f>Table1[[#This Row],[taxable wages]]+interest+dividends+short_term_capital_gains+long_term_capital_gains-(charitable_donations+mortgage_interest)</f>
        <v>294500</v>
      </c>
      <c r="U626" s="9">
        <f>MAX(amt_exemption-amt_exemption_phase_out_rate*MAX(Table1[[#This Row],[taxable wages]]-amt_phase_out_begins,0),0)</f>
        <v>50100</v>
      </c>
      <c r="V6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64706</v>
      </c>
      <c r="W626" s="1">
        <f>IF(AND(Table1[[#This Row],[AMT Taxes]]&gt;Table1[[#This Row],[Regular Taxes Owed]],Table1[[#This Row],[AMT Taxes]]&gt;0),Table1[[#This Row],[AMT Taxes]]-Table1[[#This Row],[Regular Taxes Owed]],0)</f>
        <v>5621.5</v>
      </c>
      <c r="X626" s="9">
        <f>Table1[[#This Row],[Extra Taxes From Amt]]+Table1[[#This Row],[Federal Taxes Owed (No AMT)]]</f>
        <v>64706</v>
      </c>
      <c r="Y626" s="9">
        <f>IF(Table1[[#This Row],[taxable wages]]&gt;obamacare_surcharge_amount,obamacare_surcharge_percent*(Table1[[#This Row],[taxable wages]]-obamacare_surcharge_amount),0)</f>
        <v>400.49999999999994</v>
      </c>
      <c r="Z626" s="9">
        <f>Table1[[#This Row],[Federal Taxes Owed (Includes AMT)]]+Table1[[#This Row],[Obamacare surcharge premium]]</f>
        <v>65106.5</v>
      </c>
      <c r="AA626" s="9">
        <f>Table1[[#This Row],[taxable wages]]-Table1[[#This Row],[Federal Taxes Owed2]]</f>
        <v>229393.5</v>
      </c>
      <c r="AB626" s="51">
        <f t="shared" si="56"/>
        <v>0.35899999999999999</v>
      </c>
      <c r="AC626" s="41"/>
      <c r="AD626" s="13"/>
      <c r="AE626" s="13"/>
    </row>
    <row r="627" spans="2:31" x14ac:dyDescent="0.3">
      <c r="B627" s="41">
        <f t="shared" si="57"/>
        <v>295000</v>
      </c>
      <c r="C627" s="1">
        <f>Table1[[#This Row],[taxable wages]]</f>
        <v>295000</v>
      </c>
      <c r="D627" s="1">
        <f>Table1[[#This Row],[taxable wages]]+interest+dividends+short_term_capital_gains+long_term_capital_gains</f>
        <v>295000</v>
      </c>
      <c r="E627" s="1">
        <f>MAX(Table1[[#This Row],[earned income for EITC]:[Agi For Eitc Calc]])</f>
        <v>295000</v>
      </c>
      <c r="F627" s="1">
        <f>Table1[[#This Row],[taxable wages]]+interest+dividends+short_term_capital_gains+long_term_capital_gains-(trad_ira_contributions+MIN(student_loan_interest_cap,student_loan_interest))</f>
        <v>295000</v>
      </c>
      <c r="G627" s="1">
        <f t="shared" si="53"/>
        <v>12600</v>
      </c>
      <c r="H627" s="1">
        <f t="shared" si="54"/>
        <v>28350</v>
      </c>
      <c r="I627" s="1">
        <f>MAX(0,Table1[[#This Row],[Agi]]-Table1[[#This Row],[Exemptions]]-Table1[[#This Row],[Effective Deductions]])</f>
        <v>254050</v>
      </c>
      <c r="J6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59249.5</v>
      </c>
      <c r="K627" s="1">
        <f t="shared" si="55"/>
        <v>5000</v>
      </c>
      <c r="L627" s="1">
        <f>IF(Table1[[#This Row],[Agi]]&gt;ctc_phase_out_begins,ctc_phase_out_rate*(Table1[[#This Row],[Agi]]-ctc_phase_out_begins),0)</f>
        <v>9250</v>
      </c>
      <c r="M627" s="1">
        <f>MAX(Table1[[#This Row],[Child Tax Credit]]-Table1[[#This Row],[Child Tax Credit Phase Out]],0)</f>
        <v>0</v>
      </c>
      <c r="N627" s="1">
        <f>MAX(Table1[[#This Row],[Regular Taxes Owed]]-Table1[[#This Row],[Effective Child Tax Credit]],0)</f>
        <v>59249.5</v>
      </c>
      <c r="O627" s="1">
        <f>MAX(MIN((Table1[[#This Row],[taxable wages]]-3000)*0.15,1000*num_kids_16_younger),0)</f>
        <v>5000</v>
      </c>
      <c r="P627" s="9">
        <f>IF(Table1[[#This Row],[Effective Child Tax Credit]]&gt;Table1[[#This Row],[Regular Taxes Owed]],Table1[[#This Row],[Additional Child Tax Credit ]]-Table1[[#This Row],[Regular Taxes Owed]],0)</f>
        <v>0</v>
      </c>
      <c r="Q6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7" s="1">
        <f>Table1[[#This Row],[Effective Additional Child Tax Credit]]+Table1[[#This Row],[Eitc]]</f>
        <v>0</v>
      </c>
      <c r="S627" s="9">
        <f>Table1[[#This Row],[Regular Taxes Owed - Effective Child Tax Credit]]-Table1[[#This Row],[Total Credits]]</f>
        <v>59249.5</v>
      </c>
      <c r="T627" s="9">
        <f>Table1[[#This Row],[taxable wages]]+interest+dividends+short_term_capital_gains+long_term_capital_gains-(charitable_donations+mortgage_interest)</f>
        <v>295000</v>
      </c>
      <c r="U627" s="9">
        <f>MAX(amt_exemption-amt_exemption_phase_out_rate*MAX(Table1[[#This Row],[taxable wages]]-amt_phase_out_begins,0),0)</f>
        <v>49975</v>
      </c>
      <c r="V6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64881</v>
      </c>
      <c r="W627" s="1">
        <f>IF(AND(Table1[[#This Row],[AMT Taxes]]&gt;Table1[[#This Row],[Regular Taxes Owed]],Table1[[#This Row],[AMT Taxes]]&gt;0),Table1[[#This Row],[AMT Taxes]]-Table1[[#This Row],[Regular Taxes Owed]],0)</f>
        <v>5631.5</v>
      </c>
      <c r="X627" s="9">
        <f>Table1[[#This Row],[Extra Taxes From Amt]]+Table1[[#This Row],[Federal Taxes Owed (No AMT)]]</f>
        <v>64881</v>
      </c>
      <c r="Y627" s="9">
        <f>IF(Table1[[#This Row],[taxable wages]]&gt;obamacare_surcharge_amount,obamacare_surcharge_percent*(Table1[[#This Row],[taxable wages]]-obamacare_surcharge_amount),0)</f>
        <v>404.99999999999994</v>
      </c>
      <c r="Z627" s="9">
        <f>Table1[[#This Row],[Federal Taxes Owed (Includes AMT)]]+Table1[[#This Row],[Obamacare surcharge premium]]</f>
        <v>65286</v>
      </c>
      <c r="AA627" s="9">
        <f>Table1[[#This Row],[taxable wages]]-Table1[[#This Row],[Federal Taxes Owed2]]</f>
        <v>229714</v>
      </c>
      <c r="AB627" s="51">
        <f t="shared" si="56"/>
        <v>0.35899999999999999</v>
      </c>
      <c r="AC627" s="41"/>
      <c r="AD627" s="13"/>
      <c r="AE627" s="13"/>
    </row>
    <row r="628" spans="2:31" x14ac:dyDescent="0.3">
      <c r="B628" s="41">
        <f t="shared" si="57"/>
        <v>295500</v>
      </c>
      <c r="C628" s="1">
        <f>Table1[[#This Row],[taxable wages]]</f>
        <v>295500</v>
      </c>
      <c r="D628" s="1">
        <f>Table1[[#This Row],[taxable wages]]+interest+dividends+short_term_capital_gains+long_term_capital_gains</f>
        <v>295500</v>
      </c>
      <c r="E628" s="1">
        <f>MAX(Table1[[#This Row],[earned income for EITC]:[Agi For Eitc Calc]])</f>
        <v>295500</v>
      </c>
      <c r="F628" s="1">
        <f>Table1[[#This Row],[taxable wages]]+interest+dividends+short_term_capital_gains+long_term_capital_gains-(trad_ira_contributions+MIN(student_loan_interest_cap,student_loan_interest))</f>
        <v>295500</v>
      </c>
      <c r="G628" s="1">
        <f t="shared" si="53"/>
        <v>12600</v>
      </c>
      <c r="H628" s="1">
        <f t="shared" si="54"/>
        <v>28350</v>
      </c>
      <c r="I628" s="1">
        <f>MAX(0,Table1[[#This Row],[Agi]]-Table1[[#This Row],[Exemptions]]-Table1[[#This Row],[Effective Deductions]])</f>
        <v>254550</v>
      </c>
      <c r="J6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59414.5</v>
      </c>
      <c r="K628" s="1">
        <f t="shared" si="55"/>
        <v>5000</v>
      </c>
      <c r="L628" s="1">
        <f>IF(Table1[[#This Row],[Agi]]&gt;ctc_phase_out_begins,ctc_phase_out_rate*(Table1[[#This Row],[Agi]]-ctc_phase_out_begins),0)</f>
        <v>9275</v>
      </c>
      <c r="M628" s="1">
        <f>MAX(Table1[[#This Row],[Child Tax Credit]]-Table1[[#This Row],[Child Tax Credit Phase Out]],0)</f>
        <v>0</v>
      </c>
      <c r="N628" s="1">
        <f>MAX(Table1[[#This Row],[Regular Taxes Owed]]-Table1[[#This Row],[Effective Child Tax Credit]],0)</f>
        <v>59414.5</v>
      </c>
      <c r="O628" s="1">
        <f>MAX(MIN((Table1[[#This Row],[taxable wages]]-3000)*0.15,1000*num_kids_16_younger),0)</f>
        <v>5000</v>
      </c>
      <c r="P628" s="9">
        <f>IF(Table1[[#This Row],[Effective Child Tax Credit]]&gt;Table1[[#This Row],[Regular Taxes Owed]],Table1[[#This Row],[Additional Child Tax Credit ]]-Table1[[#This Row],[Regular Taxes Owed]],0)</f>
        <v>0</v>
      </c>
      <c r="Q6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8" s="1">
        <f>Table1[[#This Row],[Effective Additional Child Tax Credit]]+Table1[[#This Row],[Eitc]]</f>
        <v>0</v>
      </c>
      <c r="S628" s="9">
        <f>Table1[[#This Row],[Regular Taxes Owed - Effective Child Tax Credit]]-Table1[[#This Row],[Total Credits]]</f>
        <v>59414.5</v>
      </c>
      <c r="T628" s="9">
        <f>Table1[[#This Row],[taxable wages]]+interest+dividends+short_term_capital_gains+long_term_capital_gains-(charitable_donations+mortgage_interest)</f>
        <v>295500</v>
      </c>
      <c r="U628" s="9">
        <f>MAX(amt_exemption-amt_exemption_phase_out_rate*MAX(Table1[[#This Row],[taxable wages]]-amt_phase_out_begins,0),0)</f>
        <v>49850</v>
      </c>
      <c r="V6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65056</v>
      </c>
      <c r="W628" s="1">
        <f>IF(AND(Table1[[#This Row],[AMT Taxes]]&gt;Table1[[#This Row],[Regular Taxes Owed]],Table1[[#This Row],[AMT Taxes]]&gt;0),Table1[[#This Row],[AMT Taxes]]-Table1[[#This Row],[Regular Taxes Owed]],0)</f>
        <v>5641.5</v>
      </c>
      <c r="X628" s="9">
        <f>Table1[[#This Row],[Extra Taxes From Amt]]+Table1[[#This Row],[Federal Taxes Owed (No AMT)]]</f>
        <v>65056</v>
      </c>
      <c r="Y628" s="9">
        <f>IF(Table1[[#This Row],[taxable wages]]&gt;obamacare_surcharge_amount,obamacare_surcharge_percent*(Table1[[#This Row],[taxable wages]]-obamacare_surcharge_amount),0)</f>
        <v>409.49999999999994</v>
      </c>
      <c r="Z628" s="9">
        <f>Table1[[#This Row],[Federal Taxes Owed (Includes AMT)]]+Table1[[#This Row],[Obamacare surcharge premium]]</f>
        <v>65465.5</v>
      </c>
      <c r="AA628" s="9">
        <f>Table1[[#This Row],[taxable wages]]-Table1[[#This Row],[Federal Taxes Owed2]]</f>
        <v>230034.5</v>
      </c>
      <c r="AB628" s="51">
        <f t="shared" si="56"/>
        <v>0.35899999999999999</v>
      </c>
      <c r="AC628" s="41"/>
      <c r="AD628" s="13"/>
      <c r="AE628" s="13"/>
    </row>
    <row r="629" spans="2:31" x14ac:dyDescent="0.3">
      <c r="B629" s="41">
        <f t="shared" si="57"/>
        <v>296000</v>
      </c>
      <c r="C629" s="1">
        <f>Table1[[#This Row],[taxable wages]]</f>
        <v>296000</v>
      </c>
      <c r="D629" s="1">
        <f>Table1[[#This Row],[taxable wages]]+interest+dividends+short_term_capital_gains+long_term_capital_gains</f>
        <v>296000</v>
      </c>
      <c r="E629" s="1">
        <f>MAX(Table1[[#This Row],[earned income for EITC]:[Agi For Eitc Calc]])</f>
        <v>296000</v>
      </c>
      <c r="F629" s="1">
        <f>Table1[[#This Row],[taxable wages]]+interest+dividends+short_term_capital_gains+long_term_capital_gains-(trad_ira_contributions+MIN(student_loan_interest_cap,student_loan_interest))</f>
        <v>296000</v>
      </c>
      <c r="G629" s="1">
        <f t="shared" si="53"/>
        <v>12600</v>
      </c>
      <c r="H629" s="1">
        <f t="shared" si="54"/>
        <v>28350</v>
      </c>
      <c r="I629" s="1">
        <f>MAX(0,Table1[[#This Row],[Agi]]-Table1[[#This Row],[Exemptions]]-Table1[[#This Row],[Effective Deductions]])</f>
        <v>255050</v>
      </c>
      <c r="J6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59579.5</v>
      </c>
      <c r="K629" s="1">
        <f t="shared" si="55"/>
        <v>5000</v>
      </c>
      <c r="L629" s="1">
        <f>IF(Table1[[#This Row],[Agi]]&gt;ctc_phase_out_begins,ctc_phase_out_rate*(Table1[[#This Row],[Agi]]-ctc_phase_out_begins),0)</f>
        <v>9300</v>
      </c>
      <c r="M629" s="1">
        <f>MAX(Table1[[#This Row],[Child Tax Credit]]-Table1[[#This Row],[Child Tax Credit Phase Out]],0)</f>
        <v>0</v>
      </c>
      <c r="N629" s="1">
        <f>MAX(Table1[[#This Row],[Regular Taxes Owed]]-Table1[[#This Row],[Effective Child Tax Credit]],0)</f>
        <v>59579.5</v>
      </c>
      <c r="O629" s="1">
        <f>MAX(MIN((Table1[[#This Row],[taxable wages]]-3000)*0.15,1000*num_kids_16_younger),0)</f>
        <v>5000</v>
      </c>
      <c r="P629" s="9">
        <f>IF(Table1[[#This Row],[Effective Child Tax Credit]]&gt;Table1[[#This Row],[Regular Taxes Owed]],Table1[[#This Row],[Additional Child Tax Credit ]]-Table1[[#This Row],[Regular Taxes Owed]],0)</f>
        <v>0</v>
      </c>
      <c r="Q6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29" s="1">
        <f>Table1[[#This Row],[Effective Additional Child Tax Credit]]+Table1[[#This Row],[Eitc]]</f>
        <v>0</v>
      </c>
      <c r="S629" s="9">
        <f>Table1[[#This Row],[Regular Taxes Owed - Effective Child Tax Credit]]-Table1[[#This Row],[Total Credits]]</f>
        <v>59579.5</v>
      </c>
      <c r="T629" s="9">
        <f>Table1[[#This Row],[taxable wages]]+interest+dividends+short_term_capital_gains+long_term_capital_gains-(charitable_donations+mortgage_interest)</f>
        <v>296000</v>
      </c>
      <c r="U629" s="9">
        <f>MAX(amt_exemption-amt_exemption_phase_out_rate*MAX(Table1[[#This Row],[taxable wages]]-amt_phase_out_begins,0),0)</f>
        <v>49725</v>
      </c>
      <c r="V6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65231</v>
      </c>
      <c r="W629" s="1">
        <f>IF(AND(Table1[[#This Row],[AMT Taxes]]&gt;Table1[[#This Row],[Regular Taxes Owed]],Table1[[#This Row],[AMT Taxes]]&gt;0),Table1[[#This Row],[AMT Taxes]]-Table1[[#This Row],[Regular Taxes Owed]],0)</f>
        <v>5651.5</v>
      </c>
      <c r="X629" s="9">
        <f>Table1[[#This Row],[Extra Taxes From Amt]]+Table1[[#This Row],[Federal Taxes Owed (No AMT)]]</f>
        <v>65231</v>
      </c>
      <c r="Y629" s="9">
        <f>IF(Table1[[#This Row],[taxable wages]]&gt;obamacare_surcharge_amount,obamacare_surcharge_percent*(Table1[[#This Row],[taxable wages]]-obamacare_surcharge_amount),0)</f>
        <v>413.99999999999994</v>
      </c>
      <c r="Z629" s="9">
        <f>Table1[[#This Row],[Federal Taxes Owed (Includes AMT)]]+Table1[[#This Row],[Obamacare surcharge premium]]</f>
        <v>65645</v>
      </c>
      <c r="AA629" s="9">
        <f>Table1[[#This Row],[taxable wages]]-Table1[[#This Row],[Federal Taxes Owed2]]</f>
        <v>230355</v>
      </c>
      <c r="AB629" s="51">
        <f t="shared" si="56"/>
        <v>0.35899999999999999</v>
      </c>
      <c r="AC629" s="41"/>
      <c r="AD629" s="13"/>
      <c r="AE629" s="13"/>
    </row>
    <row r="630" spans="2:31" x14ac:dyDescent="0.3">
      <c r="B630" s="41">
        <f t="shared" si="57"/>
        <v>296500</v>
      </c>
      <c r="C630" s="1">
        <f>Table1[[#This Row],[taxable wages]]</f>
        <v>296500</v>
      </c>
      <c r="D630" s="1">
        <f>Table1[[#This Row],[taxable wages]]+interest+dividends+short_term_capital_gains+long_term_capital_gains</f>
        <v>296500</v>
      </c>
      <c r="E630" s="1">
        <f>MAX(Table1[[#This Row],[earned income for EITC]:[Agi For Eitc Calc]])</f>
        <v>296500</v>
      </c>
      <c r="F630" s="1">
        <f>Table1[[#This Row],[taxable wages]]+interest+dividends+short_term_capital_gains+long_term_capital_gains-(trad_ira_contributions+MIN(student_loan_interest_cap,student_loan_interest))</f>
        <v>296500</v>
      </c>
      <c r="G630" s="1">
        <f t="shared" si="53"/>
        <v>12600</v>
      </c>
      <c r="H630" s="1">
        <f t="shared" si="54"/>
        <v>28350</v>
      </c>
      <c r="I630" s="1">
        <f>MAX(0,Table1[[#This Row],[Agi]]-Table1[[#This Row],[Exemptions]]-Table1[[#This Row],[Effective Deductions]])</f>
        <v>255550</v>
      </c>
      <c r="J6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59744.5</v>
      </c>
      <c r="K630" s="1">
        <f t="shared" si="55"/>
        <v>5000</v>
      </c>
      <c r="L630" s="1">
        <f>IF(Table1[[#This Row],[Agi]]&gt;ctc_phase_out_begins,ctc_phase_out_rate*(Table1[[#This Row],[Agi]]-ctc_phase_out_begins),0)</f>
        <v>9325</v>
      </c>
      <c r="M630" s="1">
        <f>MAX(Table1[[#This Row],[Child Tax Credit]]-Table1[[#This Row],[Child Tax Credit Phase Out]],0)</f>
        <v>0</v>
      </c>
      <c r="N630" s="1">
        <f>MAX(Table1[[#This Row],[Regular Taxes Owed]]-Table1[[#This Row],[Effective Child Tax Credit]],0)</f>
        <v>59744.5</v>
      </c>
      <c r="O630" s="1">
        <f>MAX(MIN((Table1[[#This Row],[taxable wages]]-3000)*0.15,1000*num_kids_16_younger),0)</f>
        <v>5000</v>
      </c>
      <c r="P630" s="9">
        <f>IF(Table1[[#This Row],[Effective Child Tax Credit]]&gt;Table1[[#This Row],[Regular Taxes Owed]],Table1[[#This Row],[Additional Child Tax Credit ]]-Table1[[#This Row],[Regular Taxes Owed]],0)</f>
        <v>0</v>
      </c>
      <c r="Q6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0" s="1">
        <f>Table1[[#This Row],[Effective Additional Child Tax Credit]]+Table1[[#This Row],[Eitc]]</f>
        <v>0</v>
      </c>
      <c r="S630" s="9">
        <f>Table1[[#This Row],[Regular Taxes Owed - Effective Child Tax Credit]]-Table1[[#This Row],[Total Credits]]</f>
        <v>59744.5</v>
      </c>
      <c r="T630" s="9">
        <f>Table1[[#This Row],[taxable wages]]+interest+dividends+short_term_capital_gains+long_term_capital_gains-(charitable_donations+mortgage_interest)</f>
        <v>296500</v>
      </c>
      <c r="U630" s="9">
        <f>MAX(amt_exemption-amt_exemption_phase_out_rate*MAX(Table1[[#This Row],[taxable wages]]-amt_phase_out_begins,0),0)</f>
        <v>49600</v>
      </c>
      <c r="V6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65406</v>
      </c>
      <c r="W630" s="1">
        <f>IF(AND(Table1[[#This Row],[AMT Taxes]]&gt;Table1[[#This Row],[Regular Taxes Owed]],Table1[[#This Row],[AMT Taxes]]&gt;0),Table1[[#This Row],[AMT Taxes]]-Table1[[#This Row],[Regular Taxes Owed]],0)</f>
        <v>5661.5</v>
      </c>
      <c r="X630" s="9">
        <f>Table1[[#This Row],[Extra Taxes From Amt]]+Table1[[#This Row],[Federal Taxes Owed (No AMT)]]</f>
        <v>65406</v>
      </c>
      <c r="Y630" s="9">
        <f>IF(Table1[[#This Row],[taxable wages]]&gt;obamacare_surcharge_amount,obamacare_surcharge_percent*(Table1[[#This Row],[taxable wages]]-obamacare_surcharge_amount),0)</f>
        <v>418.49999999999994</v>
      </c>
      <c r="Z630" s="9">
        <f>Table1[[#This Row],[Federal Taxes Owed (Includes AMT)]]+Table1[[#This Row],[Obamacare surcharge premium]]</f>
        <v>65824.5</v>
      </c>
      <c r="AA630" s="9">
        <f>Table1[[#This Row],[taxable wages]]-Table1[[#This Row],[Federal Taxes Owed2]]</f>
        <v>230675.5</v>
      </c>
      <c r="AB630" s="51">
        <f t="shared" si="56"/>
        <v>0.35899999999999999</v>
      </c>
      <c r="AC630" s="41"/>
      <c r="AD630" s="13"/>
      <c r="AE630" s="13"/>
    </row>
    <row r="631" spans="2:31" x14ac:dyDescent="0.3">
      <c r="B631" s="41">
        <f t="shared" si="57"/>
        <v>297000</v>
      </c>
      <c r="C631" s="1">
        <f>Table1[[#This Row],[taxable wages]]</f>
        <v>297000</v>
      </c>
      <c r="D631" s="1">
        <f>Table1[[#This Row],[taxable wages]]+interest+dividends+short_term_capital_gains+long_term_capital_gains</f>
        <v>297000</v>
      </c>
      <c r="E631" s="1">
        <f>MAX(Table1[[#This Row],[earned income for EITC]:[Agi For Eitc Calc]])</f>
        <v>297000</v>
      </c>
      <c r="F631" s="1">
        <f>Table1[[#This Row],[taxable wages]]+interest+dividends+short_term_capital_gains+long_term_capital_gains-(trad_ira_contributions+MIN(student_loan_interest_cap,student_loan_interest))</f>
        <v>297000</v>
      </c>
      <c r="G631" s="1">
        <f t="shared" si="53"/>
        <v>12600</v>
      </c>
      <c r="H631" s="1">
        <f t="shared" si="54"/>
        <v>28350</v>
      </c>
      <c r="I631" s="1">
        <f>MAX(0,Table1[[#This Row],[Agi]]-Table1[[#This Row],[Exemptions]]-Table1[[#This Row],[Effective Deductions]])</f>
        <v>256050</v>
      </c>
      <c r="J6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59909.5</v>
      </c>
      <c r="K631" s="1">
        <f t="shared" si="55"/>
        <v>5000</v>
      </c>
      <c r="L631" s="1">
        <f>IF(Table1[[#This Row],[Agi]]&gt;ctc_phase_out_begins,ctc_phase_out_rate*(Table1[[#This Row],[Agi]]-ctc_phase_out_begins),0)</f>
        <v>9350</v>
      </c>
      <c r="M631" s="1">
        <f>MAX(Table1[[#This Row],[Child Tax Credit]]-Table1[[#This Row],[Child Tax Credit Phase Out]],0)</f>
        <v>0</v>
      </c>
      <c r="N631" s="1">
        <f>MAX(Table1[[#This Row],[Regular Taxes Owed]]-Table1[[#This Row],[Effective Child Tax Credit]],0)</f>
        <v>59909.5</v>
      </c>
      <c r="O631" s="1">
        <f>MAX(MIN((Table1[[#This Row],[taxable wages]]-3000)*0.15,1000*num_kids_16_younger),0)</f>
        <v>5000</v>
      </c>
      <c r="P631" s="9">
        <f>IF(Table1[[#This Row],[Effective Child Tax Credit]]&gt;Table1[[#This Row],[Regular Taxes Owed]],Table1[[#This Row],[Additional Child Tax Credit ]]-Table1[[#This Row],[Regular Taxes Owed]],0)</f>
        <v>0</v>
      </c>
      <c r="Q6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1" s="1">
        <f>Table1[[#This Row],[Effective Additional Child Tax Credit]]+Table1[[#This Row],[Eitc]]</f>
        <v>0</v>
      </c>
      <c r="S631" s="9">
        <f>Table1[[#This Row],[Regular Taxes Owed - Effective Child Tax Credit]]-Table1[[#This Row],[Total Credits]]</f>
        <v>59909.5</v>
      </c>
      <c r="T631" s="9">
        <f>Table1[[#This Row],[taxable wages]]+interest+dividends+short_term_capital_gains+long_term_capital_gains-(charitable_donations+mortgage_interest)</f>
        <v>297000</v>
      </c>
      <c r="U631" s="9">
        <f>MAX(amt_exemption-amt_exemption_phase_out_rate*MAX(Table1[[#This Row],[taxable wages]]-amt_phase_out_begins,0),0)</f>
        <v>49475</v>
      </c>
      <c r="V6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65581</v>
      </c>
      <c r="W631" s="1">
        <f>IF(AND(Table1[[#This Row],[AMT Taxes]]&gt;Table1[[#This Row],[Regular Taxes Owed]],Table1[[#This Row],[AMT Taxes]]&gt;0),Table1[[#This Row],[AMT Taxes]]-Table1[[#This Row],[Regular Taxes Owed]],0)</f>
        <v>5671.5</v>
      </c>
      <c r="X631" s="9">
        <f>Table1[[#This Row],[Extra Taxes From Amt]]+Table1[[#This Row],[Federal Taxes Owed (No AMT)]]</f>
        <v>65581</v>
      </c>
      <c r="Y631" s="9">
        <f>IF(Table1[[#This Row],[taxable wages]]&gt;obamacare_surcharge_amount,obamacare_surcharge_percent*(Table1[[#This Row],[taxable wages]]-obamacare_surcharge_amount),0)</f>
        <v>422.99999999999994</v>
      </c>
      <c r="Z631" s="9">
        <f>Table1[[#This Row],[Federal Taxes Owed (Includes AMT)]]+Table1[[#This Row],[Obamacare surcharge premium]]</f>
        <v>66004</v>
      </c>
      <c r="AA631" s="9">
        <f>Table1[[#This Row],[taxable wages]]-Table1[[#This Row],[Federal Taxes Owed2]]</f>
        <v>230996</v>
      </c>
      <c r="AB631" s="51">
        <f t="shared" si="56"/>
        <v>0.35899999999999999</v>
      </c>
      <c r="AC631" s="41"/>
      <c r="AD631" s="13"/>
      <c r="AE631" s="13"/>
    </row>
    <row r="632" spans="2:31" x14ac:dyDescent="0.3">
      <c r="B632" s="41">
        <f t="shared" si="57"/>
        <v>297500</v>
      </c>
      <c r="C632" s="1">
        <f>Table1[[#This Row],[taxable wages]]</f>
        <v>297500</v>
      </c>
      <c r="D632" s="1">
        <f>Table1[[#This Row],[taxable wages]]+interest+dividends+short_term_capital_gains+long_term_capital_gains</f>
        <v>297500</v>
      </c>
      <c r="E632" s="1">
        <f>MAX(Table1[[#This Row],[earned income for EITC]:[Agi For Eitc Calc]])</f>
        <v>297500</v>
      </c>
      <c r="F632" s="1">
        <f>Table1[[#This Row],[taxable wages]]+interest+dividends+short_term_capital_gains+long_term_capital_gains-(trad_ira_contributions+MIN(student_loan_interest_cap,student_loan_interest))</f>
        <v>297500</v>
      </c>
      <c r="G632" s="1">
        <f t="shared" si="53"/>
        <v>12600</v>
      </c>
      <c r="H632" s="1">
        <f t="shared" si="54"/>
        <v>28350</v>
      </c>
      <c r="I632" s="1">
        <f>MAX(0,Table1[[#This Row],[Agi]]-Table1[[#This Row],[Exemptions]]-Table1[[#This Row],[Effective Deductions]])</f>
        <v>256550</v>
      </c>
      <c r="J6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60074.5</v>
      </c>
      <c r="K632" s="1">
        <f t="shared" si="55"/>
        <v>5000</v>
      </c>
      <c r="L632" s="1">
        <f>IF(Table1[[#This Row],[Agi]]&gt;ctc_phase_out_begins,ctc_phase_out_rate*(Table1[[#This Row],[Agi]]-ctc_phase_out_begins),0)</f>
        <v>9375</v>
      </c>
      <c r="M632" s="1">
        <f>MAX(Table1[[#This Row],[Child Tax Credit]]-Table1[[#This Row],[Child Tax Credit Phase Out]],0)</f>
        <v>0</v>
      </c>
      <c r="N632" s="1">
        <f>MAX(Table1[[#This Row],[Regular Taxes Owed]]-Table1[[#This Row],[Effective Child Tax Credit]],0)</f>
        <v>60074.5</v>
      </c>
      <c r="O632" s="1">
        <f>MAX(MIN((Table1[[#This Row],[taxable wages]]-3000)*0.15,1000*num_kids_16_younger),0)</f>
        <v>5000</v>
      </c>
      <c r="P632" s="9">
        <f>IF(Table1[[#This Row],[Effective Child Tax Credit]]&gt;Table1[[#This Row],[Regular Taxes Owed]],Table1[[#This Row],[Additional Child Tax Credit ]]-Table1[[#This Row],[Regular Taxes Owed]],0)</f>
        <v>0</v>
      </c>
      <c r="Q6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2" s="1">
        <f>Table1[[#This Row],[Effective Additional Child Tax Credit]]+Table1[[#This Row],[Eitc]]</f>
        <v>0</v>
      </c>
      <c r="S632" s="9">
        <f>Table1[[#This Row],[Regular Taxes Owed - Effective Child Tax Credit]]-Table1[[#This Row],[Total Credits]]</f>
        <v>60074.5</v>
      </c>
      <c r="T632" s="9">
        <f>Table1[[#This Row],[taxable wages]]+interest+dividends+short_term_capital_gains+long_term_capital_gains-(charitable_donations+mortgage_interest)</f>
        <v>297500</v>
      </c>
      <c r="U632" s="9">
        <f>MAX(amt_exemption-amt_exemption_phase_out_rate*MAX(Table1[[#This Row],[taxable wages]]-amt_phase_out_begins,0),0)</f>
        <v>49350</v>
      </c>
      <c r="V6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65756</v>
      </c>
      <c r="W632" s="1">
        <f>IF(AND(Table1[[#This Row],[AMT Taxes]]&gt;Table1[[#This Row],[Regular Taxes Owed]],Table1[[#This Row],[AMT Taxes]]&gt;0),Table1[[#This Row],[AMT Taxes]]-Table1[[#This Row],[Regular Taxes Owed]],0)</f>
        <v>5681.5</v>
      </c>
      <c r="X632" s="9">
        <f>Table1[[#This Row],[Extra Taxes From Amt]]+Table1[[#This Row],[Federal Taxes Owed (No AMT)]]</f>
        <v>65756</v>
      </c>
      <c r="Y632" s="9">
        <f>IF(Table1[[#This Row],[taxable wages]]&gt;obamacare_surcharge_amount,obamacare_surcharge_percent*(Table1[[#This Row],[taxable wages]]-obamacare_surcharge_amount),0)</f>
        <v>427.49999999999994</v>
      </c>
      <c r="Z632" s="9">
        <f>Table1[[#This Row],[Federal Taxes Owed (Includes AMT)]]+Table1[[#This Row],[Obamacare surcharge premium]]</f>
        <v>66183.5</v>
      </c>
      <c r="AA632" s="9">
        <f>Table1[[#This Row],[taxable wages]]-Table1[[#This Row],[Federal Taxes Owed2]]</f>
        <v>231316.5</v>
      </c>
      <c r="AB632" s="51">
        <f t="shared" si="56"/>
        <v>0.35899999999999999</v>
      </c>
      <c r="AC632" s="41"/>
      <c r="AD632" s="13"/>
      <c r="AE632" s="13"/>
    </row>
    <row r="633" spans="2:31" x14ac:dyDescent="0.3">
      <c r="B633" s="41">
        <f t="shared" si="57"/>
        <v>298000</v>
      </c>
      <c r="C633" s="1">
        <f>Table1[[#This Row],[taxable wages]]</f>
        <v>298000</v>
      </c>
      <c r="D633" s="1">
        <f>Table1[[#This Row],[taxable wages]]+interest+dividends+short_term_capital_gains+long_term_capital_gains</f>
        <v>298000</v>
      </c>
      <c r="E633" s="1">
        <f>MAX(Table1[[#This Row],[earned income for EITC]:[Agi For Eitc Calc]])</f>
        <v>298000</v>
      </c>
      <c r="F633" s="1">
        <f>Table1[[#This Row],[taxable wages]]+interest+dividends+short_term_capital_gains+long_term_capital_gains-(trad_ira_contributions+MIN(student_loan_interest_cap,student_loan_interest))</f>
        <v>298000</v>
      </c>
      <c r="G633" s="1">
        <f t="shared" si="53"/>
        <v>12600</v>
      </c>
      <c r="H633" s="1">
        <f t="shared" si="54"/>
        <v>28350</v>
      </c>
      <c r="I633" s="1">
        <f>MAX(0,Table1[[#This Row],[Agi]]-Table1[[#This Row],[Exemptions]]-Table1[[#This Row],[Effective Deductions]])</f>
        <v>257050</v>
      </c>
      <c r="J6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60239.5</v>
      </c>
      <c r="K633" s="1">
        <f t="shared" si="55"/>
        <v>5000</v>
      </c>
      <c r="L633" s="1">
        <f>IF(Table1[[#This Row],[Agi]]&gt;ctc_phase_out_begins,ctc_phase_out_rate*(Table1[[#This Row],[Agi]]-ctc_phase_out_begins),0)</f>
        <v>9400</v>
      </c>
      <c r="M633" s="1">
        <f>MAX(Table1[[#This Row],[Child Tax Credit]]-Table1[[#This Row],[Child Tax Credit Phase Out]],0)</f>
        <v>0</v>
      </c>
      <c r="N633" s="1">
        <f>MAX(Table1[[#This Row],[Regular Taxes Owed]]-Table1[[#This Row],[Effective Child Tax Credit]],0)</f>
        <v>60239.5</v>
      </c>
      <c r="O633" s="1">
        <f>MAX(MIN((Table1[[#This Row],[taxable wages]]-3000)*0.15,1000*num_kids_16_younger),0)</f>
        <v>5000</v>
      </c>
      <c r="P633" s="9">
        <f>IF(Table1[[#This Row],[Effective Child Tax Credit]]&gt;Table1[[#This Row],[Regular Taxes Owed]],Table1[[#This Row],[Additional Child Tax Credit ]]-Table1[[#This Row],[Regular Taxes Owed]],0)</f>
        <v>0</v>
      </c>
      <c r="Q6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3" s="1">
        <f>Table1[[#This Row],[Effective Additional Child Tax Credit]]+Table1[[#This Row],[Eitc]]</f>
        <v>0</v>
      </c>
      <c r="S633" s="9">
        <f>Table1[[#This Row],[Regular Taxes Owed - Effective Child Tax Credit]]-Table1[[#This Row],[Total Credits]]</f>
        <v>60239.5</v>
      </c>
      <c r="T633" s="9">
        <f>Table1[[#This Row],[taxable wages]]+interest+dividends+short_term_capital_gains+long_term_capital_gains-(charitable_donations+mortgage_interest)</f>
        <v>298000</v>
      </c>
      <c r="U633" s="9">
        <f>MAX(amt_exemption-amt_exemption_phase_out_rate*MAX(Table1[[#This Row],[taxable wages]]-amt_phase_out_begins,0),0)</f>
        <v>49225</v>
      </c>
      <c r="V6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65931</v>
      </c>
      <c r="W633" s="1">
        <f>IF(AND(Table1[[#This Row],[AMT Taxes]]&gt;Table1[[#This Row],[Regular Taxes Owed]],Table1[[#This Row],[AMT Taxes]]&gt;0),Table1[[#This Row],[AMT Taxes]]-Table1[[#This Row],[Regular Taxes Owed]],0)</f>
        <v>5691.5</v>
      </c>
      <c r="X633" s="9">
        <f>Table1[[#This Row],[Extra Taxes From Amt]]+Table1[[#This Row],[Federal Taxes Owed (No AMT)]]</f>
        <v>65931</v>
      </c>
      <c r="Y633" s="9">
        <f>IF(Table1[[#This Row],[taxable wages]]&gt;obamacare_surcharge_amount,obamacare_surcharge_percent*(Table1[[#This Row],[taxable wages]]-obamacare_surcharge_amount),0)</f>
        <v>431.99999999999994</v>
      </c>
      <c r="Z633" s="9">
        <f>Table1[[#This Row],[Federal Taxes Owed (Includes AMT)]]+Table1[[#This Row],[Obamacare surcharge premium]]</f>
        <v>66363</v>
      </c>
      <c r="AA633" s="9">
        <f>Table1[[#This Row],[taxable wages]]-Table1[[#This Row],[Federal Taxes Owed2]]</f>
        <v>231637</v>
      </c>
      <c r="AB633" s="51">
        <f t="shared" si="56"/>
        <v>0.35899999999999999</v>
      </c>
      <c r="AC633" s="41"/>
      <c r="AD633" s="13"/>
      <c r="AE633" s="13"/>
    </row>
    <row r="634" spans="2:31" x14ac:dyDescent="0.3">
      <c r="B634" s="41">
        <f t="shared" si="57"/>
        <v>298500</v>
      </c>
      <c r="C634" s="1">
        <f>Table1[[#This Row],[taxable wages]]</f>
        <v>298500</v>
      </c>
      <c r="D634" s="1">
        <f>Table1[[#This Row],[taxable wages]]+interest+dividends+short_term_capital_gains+long_term_capital_gains</f>
        <v>298500</v>
      </c>
      <c r="E634" s="1">
        <f>MAX(Table1[[#This Row],[earned income for EITC]:[Agi For Eitc Calc]])</f>
        <v>298500</v>
      </c>
      <c r="F634" s="1">
        <f>Table1[[#This Row],[taxable wages]]+interest+dividends+short_term_capital_gains+long_term_capital_gains-(trad_ira_contributions+MIN(student_loan_interest_cap,student_loan_interest))</f>
        <v>298500</v>
      </c>
      <c r="G634" s="1">
        <f t="shared" si="53"/>
        <v>12600</v>
      </c>
      <c r="H634" s="1">
        <f t="shared" si="54"/>
        <v>28350</v>
      </c>
      <c r="I634" s="1">
        <f>MAX(0,Table1[[#This Row],[Agi]]-Table1[[#This Row],[Exemptions]]-Table1[[#This Row],[Effective Deductions]])</f>
        <v>257550</v>
      </c>
      <c r="J6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60404.5</v>
      </c>
      <c r="K634" s="1">
        <f t="shared" si="55"/>
        <v>5000</v>
      </c>
      <c r="L634" s="1">
        <f>IF(Table1[[#This Row],[Agi]]&gt;ctc_phase_out_begins,ctc_phase_out_rate*(Table1[[#This Row],[Agi]]-ctc_phase_out_begins),0)</f>
        <v>9425</v>
      </c>
      <c r="M634" s="1">
        <f>MAX(Table1[[#This Row],[Child Tax Credit]]-Table1[[#This Row],[Child Tax Credit Phase Out]],0)</f>
        <v>0</v>
      </c>
      <c r="N634" s="1">
        <f>MAX(Table1[[#This Row],[Regular Taxes Owed]]-Table1[[#This Row],[Effective Child Tax Credit]],0)</f>
        <v>60404.5</v>
      </c>
      <c r="O634" s="1">
        <f>MAX(MIN((Table1[[#This Row],[taxable wages]]-3000)*0.15,1000*num_kids_16_younger),0)</f>
        <v>5000</v>
      </c>
      <c r="P634" s="9">
        <f>IF(Table1[[#This Row],[Effective Child Tax Credit]]&gt;Table1[[#This Row],[Regular Taxes Owed]],Table1[[#This Row],[Additional Child Tax Credit ]]-Table1[[#This Row],[Regular Taxes Owed]],0)</f>
        <v>0</v>
      </c>
      <c r="Q6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4" s="1">
        <f>Table1[[#This Row],[Effective Additional Child Tax Credit]]+Table1[[#This Row],[Eitc]]</f>
        <v>0</v>
      </c>
      <c r="S634" s="9">
        <f>Table1[[#This Row],[Regular Taxes Owed - Effective Child Tax Credit]]-Table1[[#This Row],[Total Credits]]</f>
        <v>60404.5</v>
      </c>
      <c r="T634" s="9">
        <f>Table1[[#This Row],[taxable wages]]+interest+dividends+short_term_capital_gains+long_term_capital_gains-(charitable_donations+mortgage_interest)</f>
        <v>298500</v>
      </c>
      <c r="U634" s="9">
        <f>MAX(amt_exemption-amt_exemption_phase_out_rate*MAX(Table1[[#This Row],[taxable wages]]-amt_phase_out_begins,0),0)</f>
        <v>49100</v>
      </c>
      <c r="V6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66106</v>
      </c>
      <c r="W634" s="1">
        <f>IF(AND(Table1[[#This Row],[AMT Taxes]]&gt;Table1[[#This Row],[Regular Taxes Owed]],Table1[[#This Row],[AMT Taxes]]&gt;0),Table1[[#This Row],[AMT Taxes]]-Table1[[#This Row],[Regular Taxes Owed]],0)</f>
        <v>5701.5</v>
      </c>
      <c r="X634" s="9">
        <f>Table1[[#This Row],[Extra Taxes From Amt]]+Table1[[#This Row],[Federal Taxes Owed (No AMT)]]</f>
        <v>66106</v>
      </c>
      <c r="Y634" s="9">
        <f>IF(Table1[[#This Row],[taxable wages]]&gt;obamacare_surcharge_amount,obamacare_surcharge_percent*(Table1[[#This Row],[taxable wages]]-obamacare_surcharge_amount),0)</f>
        <v>436.49999999999994</v>
      </c>
      <c r="Z634" s="9">
        <f>Table1[[#This Row],[Federal Taxes Owed (Includes AMT)]]+Table1[[#This Row],[Obamacare surcharge premium]]</f>
        <v>66542.5</v>
      </c>
      <c r="AA634" s="9">
        <f>Table1[[#This Row],[taxable wages]]-Table1[[#This Row],[Federal Taxes Owed2]]</f>
        <v>231957.5</v>
      </c>
      <c r="AB634" s="51">
        <f t="shared" si="56"/>
        <v>0.35899999999999999</v>
      </c>
      <c r="AC634" s="41"/>
      <c r="AD634" s="13"/>
      <c r="AE634" s="13"/>
    </row>
    <row r="635" spans="2:31" x14ac:dyDescent="0.3">
      <c r="B635" s="41">
        <f t="shared" si="57"/>
        <v>299000</v>
      </c>
      <c r="C635" s="1">
        <f>Table1[[#This Row],[taxable wages]]</f>
        <v>299000</v>
      </c>
      <c r="D635" s="1">
        <f>Table1[[#This Row],[taxable wages]]+interest+dividends+short_term_capital_gains+long_term_capital_gains</f>
        <v>299000</v>
      </c>
      <c r="E635" s="1">
        <f>MAX(Table1[[#This Row],[earned income for EITC]:[Agi For Eitc Calc]])</f>
        <v>299000</v>
      </c>
      <c r="F635" s="1">
        <f>Table1[[#This Row],[taxable wages]]+interest+dividends+short_term_capital_gains+long_term_capital_gains-(trad_ira_contributions+MIN(student_loan_interest_cap,student_loan_interest))</f>
        <v>299000</v>
      </c>
      <c r="G635" s="1">
        <f t="shared" si="53"/>
        <v>12600</v>
      </c>
      <c r="H635" s="1">
        <f t="shared" si="54"/>
        <v>28350</v>
      </c>
      <c r="I635" s="1">
        <f>MAX(0,Table1[[#This Row],[Agi]]-Table1[[#This Row],[Exemptions]]-Table1[[#This Row],[Effective Deductions]])</f>
        <v>258050</v>
      </c>
      <c r="J6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60569.5</v>
      </c>
      <c r="K635" s="1">
        <f t="shared" si="55"/>
        <v>5000</v>
      </c>
      <c r="L635" s="1">
        <f>IF(Table1[[#This Row],[Agi]]&gt;ctc_phase_out_begins,ctc_phase_out_rate*(Table1[[#This Row],[Agi]]-ctc_phase_out_begins),0)</f>
        <v>9450</v>
      </c>
      <c r="M635" s="1">
        <f>MAX(Table1[[#This Row],[Child Tax Credit]]-Table1[[#This Row],[Child Tax Credit Phase Out]],0)</f>
        <v>0</v>
      </c>
      <c r="N635" s="1">
        <f>MAX(Table1[[#This Row],[Regular Taxes Owed]]-Table1[[#This Row],[Effective Child Tax Credit]],0)</f>
        <v>60569.5</v>
      </c>
      <c r="O635" s="1">
        <f>MAX(MIN((Table1[[#This Row],[taxable wages]]-3000)*0.15,1000*num_kids_16_younger),0)</f>
        <v>5000</v>
      </c>
      <c r="P635" s="9">
        <f>IF(Table1[[#This Row],[Effective Child Tax Credit]]&gt;Table1[[#This Row],[Regular Taxes Owed]],Table1[[#This Row],[Additional Child Tax Credit ]]-Table1[[#This Row],[Regular Taxes Owed]],0)</f>
        <v>0</v>
      </c>
      <c r="Q6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5" s="1">
        <f>Table1[[#This Row],[Effective Additional Child Tax Credit]]+Table1[[#This Row],[Eitc]]</f>
        <v>0</v>
      </c>
      <c r="S635" s="9">
        <f>Table1[[#This Row],[Regular Taxes Owed - Effective Child Tax Credit]]-Table1[[#This Row],[Total Credits]]</f>
        <v>60569.5</v>
      </c>
      <c r="T635" s="9">
        <f>Table1[[#This Row],[taxable wages]]+interest+dividends+short_term_capital_gains+long_term_capital_gains-(charitable_donations+mortgage_interest)</f>
        <v>299000</v>
      </c>
      <c r="U635" s="9">
        <f>MAX(amt_exemption-amt_exemption_phase_out_rate*MAX(Table1[[#This Row],[taxable wages]]-amt_phase_out_begins,0),0)</f>
        <v>48975</v>
      </c>
      <c r="V6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66281</v>
      </c>
      <c r="W635" s="1">
        <f>IF(AND(Table1[[#This Row],[AMT Taxes]]&gt;Table1[[#This Row],[Regular Taxes Owed]],Table1[[#This Row],[AMT Taxes]]&gt;0),Table1[[#This Row],[AMT Taxes]]-Table1[[#This Row],[Regular Taxes Owed]],0)</f>
        <v>5711.5</v>
      </c>
      <c r="X635" s="9">
        <f>Table1[[#This Row],[Extra Taxes From Amt]]+Table1[[#This Row],[Federal Taxes Owed (No AMT)]]</f>
        <v>66281</v>
      </c>
      <c r="Y635" s="9">
        <f>IF(Table1[[#This Row],[taxable wages]]&gt;obamacare_surcharge_amount,obamacare_surcharge_percent*(Table1[[#This Row],[taxable wages]]-obamacare_surcharge_amount),0)</f>
        <v>440.99999999999994</v>
      </c>
      <c r="Z635" s="9">
        <f>Table1[[#This Row],[Federal Taxes Owed (Includes AMT)]]+Table1[[#This Row],[Obamacare surcharge premium]]</f>
        <v>66722</v>
      </c>
      <c r="AA635" s="9">
        <f>Table1[[#This Row],[taxable wages]]-Table1[[#This Row],[Federal Taxes Owed2]]</f>
        <v>232278</v>
      </c>
      <c r="AB635" s="51">
        <f t="shared" si="56"/>
        <v>0.35899999999999999</v>
      </c>
      <c r="AC635" s="41"/>
      <c r="AD635" s="13"/>
      <c r="AE635" s="13"/>
    </row>
    <row r="636" spans="2:31" x14ac:dyDescent="0.3">
      <c r="B636" s="41">
        <f t="shared" si="57"/>
        <v>299500</v>
      </c>
      <c r="C636" s="1">
        <f>Table1[[#This Row],[taxable wages]]</f>
        <v>299500</v>
      </c>
      <c r="D636" s="1">
        <f>Table1[[#This Row],[taxable wages]]+interest+dividends+short_term_capital_gains+long_term_capital_gains</f>
        <v>299500</v>
      </c>
      <c r="E636" s="1">
        <f>MAX(Table1[[#This Row],[earned income for EITC]:[Agi For Eitc Calc]])</f>
        <v>299500</v>
      </c>
      <c r="F636" s="1">
        <f>Table1[[#This Row],[taxable wages]]+interest+dividends+short_term_capital_gains+long_term_capital_gains-(trad_ira_contributions+MIN(student_loan_interest_cap,student_loan_interest))</f>
        <v>299500</v>
      </c>
      <c r="G636" s="1">
        <f t="shared" si="53"/>
        <v>12600</v>
      </c>
      <c r="H636" s="1">
        <f t="shared" si="54"/>
        <v>28350</v>
      </c>
      <c r="I636" s="1">
        <f>MAX(0,Table1[[#This Row],[Agi]]-Table1[[#This Row],[Exemptions]]-Table1[[#This Row],[Effective Deductions]])</f>
        <v>258550</v>
      </c>
      <c r="J6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60734.5</v>
      </c>
      <c r="K636" s="1">
        <f t="shared" si="55"/>
        <v>5000</v>
      </c>
      <c r="L636" s="1">
        <f>IF(Table1[[#This Row],[Agi]]&gt;ctc_phase_out_begins,ctc_phase_out_rate*(Table1[[#This Row],[Agi]]-ctc_phase_out_begins),0)</f>
        <v>9475</v>
      </c>
      <c r="M636" s="1">
        <f>MAX(Table1[[#This Row],[Child Tax Credit]]-Table1[[#This Row],[Child Tax Credit Phase Out]],0)</f>
        <v>0</v>
      </c>
      <c r="N636" s="1">
        <f>MAX(Table1[[#This Row],[Regular Taxes Owed]]-Table1[[#This Row],[Effective Child Tax Credit]],0)</f>
        <v>60734.5</v>
      </c>
      <c r="O636" s="1">
        <f>MAX(MIN((Table1[[#This Row],[taxable wages]]-3000)*0.15,1000*num_kids_16_younger),0)</f>
        <v>5000</v>
      </c>
      <c r="P636" s="9">
        <f>IF(Table1[[#This Row],[Effective Child Tax Credit]]&gt;Table1[[#This Row],[Regular Taxes Owed]],Table1[[#This Row],[Additional Child Tax Credit ]]-Table1[[#This Row],[Regular Taxes Owed]],0)</f>
        <v>0</v>
      </c>
      <c r="Q6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6" s="1">
        <f>Table1[[#This Row],[Effective Additional Child Tax Credit]]+Table1[[#This Row],[Eitc]]</f>
        <v>0</v>
      </c>
      <c r="S636" s="9">
        <f>Table1[[#This Row],[Regular Taxes Owed - Effective Child Tax Credit]]-Table1[[#This Row],[Total Credits]]</f>
        <v>60734.5</v>
      </c>
      <c r="T636" s="9">
        <f>Table1[[#This Row],[taxable wages]]+interest+dividends+short_term_capital_gains+long_term_capital_gains-(charitable_donations+mortgage_interest)</f>
        <v>299500</v>
      </c>
      <c r="U636" s="9">
        <f>MAX(amt_exemption-amt_exemption_phase_out_rate*MAX(Table1[[#This Row],[taxable wages]]-amt_phase_out_begins,0),0)</f>
        <v>48850</v>
      </c>
      <c r="V6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66456</v>
      </c>
      <c r="W636" s="1">
        <f>IF(AND(Table1[[#This Row],[AMT Taxes]]&gt;Table1[[#This Row],[Regular Taxes Owed]],Table1[[#This Row],[AMT Taxes]]&gt;0),Table1[[#This Row],[AMT Taxes]]-Table1[[#This Row],[Regular Taxes Owed]],0)</f>
        <v>5721.5</v>
      </c>
      <c r="X636" s="9">
        <f>Table1[[#This Row],[Extra Taxes From Amt]]+Table1[[#This Row],[Federal Taxes Owed (No AMT)]]</f>
        <v>66456</v>
      </c>
      <c r="Y636" s="9">
        <f>IF(Table1[[#This Row],[taxable wages]]&gt;obamacare_surcharge_amount,obamacare_surcharge_percent*(Table1[[#This Row],[taxable wages]]-obamacare_surcharge_amount),0)</f>
        <v>445.49999999999994</v>
      </c>
      <c r="Z636" s="9">
        <f>Table1[[#This Row],[Federal Taxes Owed (Includes AMT)]]+Table1[[#This Row],[Obamacare surcharge premium]]</f>
        <v>66901.5</v>
      </c>
      <c r="AA636" s="9">
        <f>Table1[[#This Row],[taxable wages]]-Table1[[#This Row],[Federal Taxes Owed2]]</f>
        <v>232598.5</v>
      </c>
      <c r="AB636" s="51">
        <f t="shared" si="56"/>
        <v>0.35899999999999999</v>
      </c>
      <c r="AC636" s="41"/>
      <c r="AD636" s="13"/>
      <c r="AE636" s="13"/>
    </row>
    <row r="637" spans="2:31" x14ac:dyDescent="0.3">
      <c r="B637" s="41">
        <f t="shared" si="57"/>
        <v>300000</v>
      </c>
      <c r="C637" s="1">
        <f>Table1[[#This Row],[taxable wages]]</f>
        <v>300000</v>
      </c>
      <c r="D637" s="1">
        <f>Table1[[#This Row],[taxable wages]]+interest+dividends+short_term_capital_gains+long_term_capital_gains</f>
        <v>300000</v>
      </c>
      <c r="E637" s="1">
        <f>MAX(Table1[[#This Row],[earned income for EITC]:[Agi For Eitc Calc]])</f>
        <v>300000</v>
      </c>
      <c r="F637" s="1">
        <f>Table1[[#This Row],[taxable wages]]+interest+dividends+short_term_capital_gains+long_term_capital_gains-(trad_ira_contributions+MIN(student_loan_interest_cap,student_loan_interest))</f>
        <v>300000</v>
      </c>
      <c r="G637" s="1">
        <f t="shared" si="53"/>
        <v>12600</v>
      </c>
      <c r="H637" s="1">
        <f t="shared" si="54"/>
        <v>28350</v>
      </c>
      <c r="I637" s="1">
        <f>MAX(0,Table1[[#This Row],[Agi]]-Table1[[#This Row],[Exemptions]]-Table1[[#This Row],[Effective Deductions]])</f>
        <v>259050</v>
      </c>
      <c r="J6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60899.5</v>
      </c>
      <c r="K637" s="1">
        <f t="shared" si="55"/>
        <v>5000</v>
      </c>
      <c r="L637" s="1">
        <f>IF(Table1[[#This Row],[Agi]]&gt;ctc_phase_out_begins,ctc_phase_out_rate*(Table1[[#This Row],[Agi]]-ctc_phase_out_begins),0)</f>
        <v>9500</v>
      </c>
      <c r="M637" s="1">
        <f>MAX(Table1[[#This Row],[Child Tax Credit]]-Table1[[#This Row],[Child Tax Credit Phase Out]],0)</f>
        <v>0</v>
      </c>
      <c r="N637" s="1">
        <f>MAX(Table1[[#This Row],[Regular Taxes Owed]]-Table1[[#This Row],[Effective Child Tax Credit]],0)</f>
        <v>60899.5</v>
      </c>
      <c r="O637" s="1">
        <f>MAX(MIN((Table1[[#This Row],[taxable wages]]-3000)*0.15,1000*num_kids_16_younger),0)</f>
        <v>5000</v>
      </c>
      <c r="P637" s="9">
        <f>IF(Table1[[#This Row],[Effective Child Tax Credit]]&gt;Table1[[#This Row],[Regular Taxes Owed]],Table1[[#This Row],[Additional Child Tax Credit ]]-Table1[[#This Row],[Regular Taxes Owed]],0)</f>
        <v>0</v>
      </c>
      <c r="Q6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7" s="1">
        <f>Table1[[#This Row],[Effective Additional Child Tax Credit]]+Table1[[#This Row],[Eitc]]</f>
        <v>0</v>
      </c>
      <c r="S637" s="9">
        <f>Table1[[#This Row],[Regular Taxes Owed - Effective Child Tax Credit]]-Table1[[#This Row],[Total Credits]]</f>
        <v>60899.5</v>
      </c>
      <c r="T637" s="9">
        <f>Table1[[#This Row],[taxable wages]]+interest+dividends+short_term_capital_gains+long_term_capital_gains-(charitable_donations+mortgage_interest)</f>
        <v>300000</v>
      </c>
      <c r="U637" s="9">
        <f>MAX(amt_exemption-amt_exemption_phase_out_rate*MAX(Table1[[#This Row],[taxable wages]]-amt_phase_out_begins,0),0)</f>
        <v>48725</v>
      </c>
      <c r="V6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66631</v>
      </c>
      <c r="W637" s="1">
        <f>IF(AND(Table1[[#This Row],[AMT Taxes]]&gt;Table1[[#This Row],[Regular Taxes Owed]],Table1[[#This Row],[AMT Taxes]]&gt;0),Table1[[#This Row],[AMT Taxes]]-Table1[[#This Row],[Regular Taxes Owed]],0)</f>
        <v>5731.5</v>
      </c>
      <c r="X637" s="9">
        <f>Table1[[#This Row],[Extra Taxes From Amt]]+Table1[[#This Row],[Federal Taxes Owed (No AMT)]]</f>
        <v>66631</v>
      </c>
      <c r="Y637" s="9">
        <f>IF(Table1[[#This Row],[taxable wages]]&gt;obamacare_surcharge_amount,obamacare_surcharge_percent*(Table1[[#This Row],[taxable wages]]-obamacare_surcharge_amount),0)</f>
        <v>449.99999999999994</v>
      </c>
      <c r="Z637" s="9">
        <f>Table1[[#This Row],[Federal Taxes Owed (Includes AMT)]]+Table1[[#This Row],[Obamacare surcharge premium]]</f>
        <v>67081</v>
      </c>
      <c r="AA637" s="9">
        <f>Table1[[#This Row],[taxable wages]]-Table1[[#This Row],[Federal Taxes Owed2]]</f>
        <v>232919</v>
      </c>
      <c r="AB637" s="51">
        <f t="shared" si="56"/>
        <v>0.35899999999999999</v>
      </c>
      <c r="AC637" s="41"/>
      <c r="AD637" s="13"/>
      <c r="AE637" s="13"/>
    </row>
    <row r="638" spans="2:31" x14ac:dyDescent="0.3">
      <c r="B638" s="41">
        <f t="shared" si="57"/>
        <v>300500</v>
      </c>
      <c r="C638" s="1">
        <f>Table1[[#This Row],[taxable wages]]</f>
        <v>300500</v>
      </c>
      <c r="D638" s="1">
        <f>Table1[[#This Row],[taxable wages]]+interest+dividends+short_term_capital_gains+long_term_capital_gains</f>
        <v>300500</v>
      </c>
      <c r="E638" s="1">
        <f>MAX(Table1[[#This Row],[earned income for EITC]:[Agi For Eitc Calc]])</f>
        <v>300500</v>
      </c>
      <c r="F638" s="1">
        <f>Table1[[#This Row],[taxable wages]]+interest+dividends+short_term_capital_gains+long_term_capital_gains-(trad_ira_contributions+MIN(student_loan_interest_cap,student_loan_interest))</f>
        <v>300500</v>
      </c>
      <c r="G638" s="1">
        <f t="shared" si="53"/>
        <v>12600</v>
      </c>
      <c r="H638" s="1">
        <f t="shared" si="54"/>
        <v>28350</v>
      </c>
      <c r="I638" s="1">
        <f>MAX(0,Table1[[#This Row],[Agi]]-Table1[[#This Row],[Exemptions]]-Table1[[#This Row],[Effective Deductions]])</f>
        <v>259550</v>
      </c>
      <c r="J6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61064.5</v>
      </c>
      <c r="K638" s="1">
        <f t="shared" si="55"/>
        <v>5000</v>
      </c>
      <c r="L638" s="1">
        <f>IF(Table1[[#This Row],[Agi]]&gt;ctc_phase_out_begins,ctc_phase_out_rate*(Table1[[#This Row],[Agi]]-ctc_phase_out_begins),0)</f>
        <v>9525</v>
      </c>
      <c r="M638" s="1">
        <f>MAX(Table1[[#This Row],[Child Tax Credit]]-Table1[[#This Row],[Child Tax Credit Phase Out]],0)</f>
        <v>0</v>
      </c>
      <c r="N638" s="1">
        <f>MAX(Table1[[#This Row],[Regular Taxes Owed]]-Table1[[#This Row],[Effective Child Tax Credit]],0)</f>
        <v>61064.5</v>
      </c>
      <c r="O638" s="1">
        <f>MAX(MIN((Table1[[#This Row],[taxable wages]]-3000)*0.15,1000*num_kids_16_younger),0)</f>
        <v>5000</v>
      </c>
      <c r="P638" s="9">
        <f>IF(Table1[[#This Row],[Effective Child Tax Credit]]&gt;Table1[[#This Row],[Regular Taxes Owed]],Table1[[#This Row],[Additional Child Tax Credit ]]-Table1[[#This Row],[Regular Taxes Owed]],0)</f>
        <v>0</v>
      </c>
      <c r="Q6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8" s="1">
        <f>Table1[[#This Row],[Effective Additional Child Tax Credit]]+Table1[[#This Row],[Eitc]]</f>
        <v>0</v>
      </c>
      <c r="S638" s="9">
        <f>Table1[[#This Row],[Regular Taxes Owed - Effective Child Tax Credit]]-Table1[[#This Row],[Total Credits]]</f>
        <v>61064.5</v>
      </c>
      <c r="T638" s="9">
        <f>Table1[[#This Row],[taxable wages]]+interest+dividends+short_term_capital_gains+long_term_capital_gains-(charitable_donations+mortgage_interest)</f>
        <v>300500</v>
      </c>
      <c r="U638" s="9">
        <f>MAX(amt_exemption-amt_exemption_phase_out_rate*MAX(Table1[[#This Row],[taxable wages]]-amt_phase_out_begins,0),0)</f>
        <v>48600</v>
      </c>
      <c r="V6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66806</v>
      </c>
      <c r="W638" s="1">
        <f>IF(AND(Table1[[#This Row],[AMT Taxes]]&gt;Table1[[#This Row],[Regular Taxes Owed]],Table1[[#This Row],[AMT Taxes]]&gt;0),Table1[[#This Row],[AMT Taxes]]-Table1[[#This Row],[Regular Taxes Owed]],0)</f>
        <v>5741.5</v>
      </c>
      <c r="X638" s="9">
        <f>Table1[[#This Row],[Extra Taxes From Amt]]+Table1[[#This Row],[Federal Taxes Owed (No AMT)]]</f>
        <v>66806</v>
      </c>
      <c r="Y638" s="9">
        <f>IF(Table1[[#This Row],[taxable wages]]&gt;obamacare_surcharge_amount,obamacare_surcharge_percent*(Table1[[#This Row],[taxable wages]]-obamacare_surcharge_amount),0)</f>
        <v>454.49999999999994</v>
      </c>
      <c r="Z638" s="9">
        <f>Table1[[#This Row],[Federal Taxes Owed (Includes AMT)]]+Table1[[#This Row],[Obamacare surcharge premium]]</f>
        <v>67260.5</v>
      </c>
      <c r="AA638" s="9">
        <f>Table1[[#This Row],[taxable wages]]-Table1[[#This Row],[Federal Taxes Owed2]]</f>
        <v>233239.5</v>
      </c>
      <c r="AB638" s="51">
        <f t="shared" si="56"/>
        <v>0.35899999999999999</v>
      </c>
      <c r="AC638" s="41"/>
      <c r="AD638" s="13"/>
      <c r="AE638" s="13"/>
    </row>
    <row r="639" spans="2:31" x14ac:dyDescent="0.3">
      <c r="B639" s="41">
        <f t="shared" si="57"/>
        <v>301000</v>
      </c>
      <c r="C639" s="1">
        <f>Table1[[#This Row],[taxable wages]]</f>
        <v>301000</v>
      </c>
      <c r="D639" s="1">
        <f>Table1[[#This Row],[taxable wages]]+interest+dividends+short_term_capital_gains+long_term_capital_gains</f>
        <v>301000</v>
      </c>
      <c r="E639" s="1">
        <f>MAX(Table1[[#This Row],[earned income for EITC]:[Agi For Eitc Calc]])</f>
        <v>301000</v>
      </c>
      <c r="F639" s="1">
        <f>Table1[[#This Row],[taxable wages]]+interest+dividends+short_term_capital_gains+long_term_capital_gains-(trad_ira_contributions+MIN(student_loan_interest_cap,student_loan_interest))</f>
        <v>301000</v>
      </c>
      <c r="G639" s="1">
        <f t="shared" si="53"/>
        <v>12600</v>
      </c>
      <c r="H639" s="1">
        <f t="shared" si="54"/>
        <v>28350</v>
      </c>
      <c r="I639" s="1">
        <f>MAX(0,Table1[[#This Row],[Agi]]-Table1[[#This Row],[Exemptions]]-Table1[[#This Row],[Effective Deductions]])</f>
        <v>260050</v>
      </c>
      <c r="J6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61229.5</v>
      </c>
      <c r="K639" s="1">
        <f t="shared" si="55"/>
        <v>5000</v>
      </c>
      <c r="L639" s="1">
        <f>IF(Table1[[#This Row],[Agi]]&gt;ctc_phase_out_begins,ctc_phase_out_rate*(Table1[[#This Row],[Agi]]-ctc_phase_out_begins),0)</f>
        <v>9550</v>
      </c>
      <c r="M639" s="1">
        <f>MAX(Table1[[#This Row],[Child Tax Credit]]-Table1[[#This Row],[Child Tax Credit Phase Out]],0)</f>
        <v>0</v>
      </c>
      <c r="N639" s="1">
        <f>MAX(Table1[[#This Row],[Regular Taxes Owed]]-Table1[[#This Row],[Effective Child Tax Credit]],0)</f>
        <v>61229.5</v>
      </c>
      <c r="O639" s="1">
        <f>MAX(MIN((Table1[[#This Row],[taxable wages]]-3000)*0.15,1000*num_kids_16_younger),0)</f>
        <v>5000</v>
      </c>
      <c r="P639" s="9">
        <f>IF(Table1[[#This Row],[Effective Child Tax Credit]]&gt;Table1[[#This Row],[Regular Taxes Owed]],Table1[[#This Row],[Additional Child Tax Credit ]]-Table1[[#This Row],[Regular Taxes Owed]],0)</f>
        <v>0</v>
      </c>
      <c r="Q6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39" s="1">
        <f>Table1[[#This Row],[Effective Additional Child Tax Credit]]+Table1[[#This Row],[Eitc]]</f>
        <v>0</v>
      </c>
      <c r="S639" s="9">
        <f>Table1[[#This Row],[Regular Taxes Owed - Effective Child Tax Credit]]-Table1[[#This Row],[Total Credits]]</f>
        <v>61229.5</v>
      </c>
      <c r="T639" s="9">
        <f>Table1[[#This Row],[taxable wages]]+interest+dividends+short_term_capital_gains+long_term_capital_gains-(charitable_donations+mortgage_interest)</f>
        <v>301000</v>
      </c>
      <c r="U639" s="9">
        <f>MAX(amt_exemption-amt_exemption_phase_out_rate*MAX(Table1[[#This Row],[taxable wages]]-amt_phase_out_begins,0),0)</f>
        <v>48475</v>
      </c>
      <c r="V6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66981</v>
      </c>
      <c r="W639" s="1">
        <f>IF(AND(Table1[[#This Row],[AMT Taxes]]&gt;Table1[[#This Row],[Regular Taxes Owed]],Table1[[#This Row],[AMT Taxes]]&gt;0),Table1[[#This Row],[AMT Taxes]]-Table1[[#This Row],[Regular Taxes Owed]],0)</f>
        <v>5751.5</v>
      </c>
      <c r="X639" s="9">
        <f>Table1[[#This Row],[Extra Taxes From Amt]]+Table1[[#This Row],[Federal Taxes Owed (No AMT)]]</f>
        <v>66981</v>
      </c>
      <c r="Y639" s="9">
        <f>IF(Table1[[#This Row],[taxable wages]]&gt;obamacare_surcharge_amount,obamacare_surcharge_percent*(Table1[[#This Row],[taxable wages]]-obamacare_surcharge_amount),0)</f>
        <v>458.99999999999994</v>
      </c>
      <c r="Z639" s="9">
        <f>Table1[[#This Row],[Federal Taxes Owed (Includes AMT)]]+Table1[[#This Row],[Obamacare surcharge premium]]</f>
        <v>67440</v>
      </c>
      <c r="AA639" s="9">
        <f>Table1[[#This Row],[taxable wages]]-Table1[[#This Row],[Federal Taxes Owed2]]</f>
        <v>233560</v>
      </c>
      <c r="AB639" s="51">
        <f t="shared" si="56"/>
        <v>0.35899999999999999</v>
      </c>
      <c r="AC639" s="41"/>
      <c r="AD639" s="13"/>
      <c r="AE639" s="13"/>
    </row>
    <row r="640" spans="2:31" x14ac:dyDescent="0.3">
      <c r="B640" s="41">
        <f t="shared" si="57"/>
        <v>301500</v>
      </c>
      <c r="C640" s="1">
        <f>Table1[[#This Row],[taxable wages]]</f>
        <v>301500</v>
      </c>
      <c r="D640" s="1">
        <f>Table1[[#This Row],[taxable wages]]+interest+dividends+short_term_capital_gains+long_term_capital_gains</f>
        <v>301500</v>
      </c>
      <c r="E640" s="1">
        <f>MAX(Table1[[#This Row],[earned income for EITC]:[Agi For Eitc Calc]])</f>
        <v>301500</v>
      </c>
      <c r="F640" s="1">
        <f>Table1[[#This Row],[taxable wages]]+interest+dividends+short_term_capital_gains+long_term_capital_gains-(trad_ira_contributions+MIN(student_loan_interest_cap,student_loan_interest))</f>
        <v>301500</v>
      </c>
      <c r="G640" s="1">
        <f t="shared" si="53"/>
        <v>12600</v>
      </c>
      <c r="H640" s="1">
        <f t="shared" si="54"/>
        <v>28350</v>
      </c>
      <c r="I640" s="1">
        <f>MAX(0,Table1[[#This Row],[Agi]]-Table1[[#This Row],[Exemptions]]-Table1[[#This Row],[Effective Deductions]])</f>
        <v>260550</v>
      </c>
      <c r="J6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61394.5</v>
      </c>
      <c r="K640" s="1">
        <f t="shared" si="55"/>
        <v>5000</v>
      </c>
      <c r="L640" s="1">
        <f>IF(Table1[[#This Row],[Agi]]&gt;ctc_phase_out_begins,ctc_phase_out_rate*(Table1[[#This Row],[Agi]]-ctc_phase_out_begins),0)</f>
        <v>9575</v>
      </c>
      <c r="M640" s="1">
        <f>MAX(Table1[[#This Row],[Child Tax Credit]]-Table1[[#This Row],[Child Tax Credit Phase Out]],0)</f>
        <v>0</v>
      </c>
      <c r="N640" s="1">
        <f>MAX(Table1[[#This Row],[Regular Taxes Owed]]-Table1[[#This Row],[Effective Child Tax Credit]],0)</f>
        <v>61394.5</v>
      </c>
      <c r="O640" s="1">
        <f>MAX(MIN((Table1[[#This Row],[taxable wages]]-3000)*0.15,1000*num_kids_16_younger),0)</f>
        <v>5000</v>
      </c>
      <c r="P640" s="9">
        <f>IF(Table1[[#This Row],[Effective Child Tax Credit]]&gt;Table1[[#This Row],[Regular Taxes Owed]],Table1[[#This Row],[Additional Child Tax Credit ]]-Table1[[#This Row],[Regular Taxes Owed]],0)</f>
        <v>0</v>
      </c>
      <c r="Q6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0" s="1">
        <f>Table1[[#This Row],[Effective Additional Child Tax Credit]]+Table1[[#This Row],[Eitc]]</f>
        <v>0</v>
      </c>
      <c r="S640" s="9">
        <f>Table1[[#This Row],[Regular Taxes Owed - Effective Child Tax Credit]]-Table1[[#This Row],[Total Credits]]</f>
        <v>61394.5</v>
      </c>
      <c r="T640" s="9">
        <f>Table1[[#This Row],[taxable wages]]+interest+dividends+short_term_capital_gains+long_term_capital_gains-(charitable_donations+mortgage_interest)</f>
        <v>301500</v>
      </c>
      <c r="U640" s="9">
        <f>MAX(amt_exemption-amt_exemption_phase_out_rate*MAX(Table1[[#This Row],[taxable wages]]-amt_phase_out_begins,0),0)</f>
        <v>48350</v>
      </c>
      <c r="V6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67156</v>
      </c>
      <c r="W640" s="1">
        <f>IF(AND(Table1[[#This Row],[AMT Taxes]]&gt;Table1[[#This Row],[Regular Taxes Owed]],Table1[[#This Row],[AMT Taxes]]&gt;0),Table1[[#This Row],[AMT Taxes]]-Table1[[#This Row],[Regular Taxes Owed]],0)</f>
        <v>5761.5</v>
      </c>
      <c r="X640" s="9">
        <f>Table1[[#This Row],[Extra Taxes From Amt]]+Table1[[#This Row],[Federal Taxes Owed (No AMT)]]</f>
        <v>67156</v>
      </c>
      <c r="Y640" s="9">
        <f>IF(Table1[[#This Row],[taxable wages]]&gt;obamacare_surcharge_amount,obamacare_surcharge_percent*(Table1[[#This Row],[taxable wages]]-obamacare_surcharge_amount),0)</f>
        <v>463.49999999999994</v>
      </c>
      <c r="Z640" s="9">
        <f>Table1[[#This Row],[Federal Taxes Owed (Includes AMT)]]+Table1[[#This Row],[Obamacare surcharge premium]]</f>
        <v>67619.5</v>
      </c>
      <c r="AA640" s="9">
        <f>Table1[[#This Row],[taxable wages]]-Table1[[#This Row],[Federal Taxes Owed2]]</f>
        <v>233880.5</v>
      </c>
      <c r="AB640" s="51">
        <f t="shared" si="56"/>
        <v>0.35899999999999999</v>
      </c>
      <c r="AC640" s="41"/>
      <c r="AD640" s="13"/>
      <c r="AE640" s="13"/>
    </row>
    <row r="641" spans="2:31" x14ac:dyDescent="0.3">
      <c r="B641" s="41">
        <f t="shared" si="57"/>
        <v>302000</v>
      </c>
      <c r="C641" s="1">
        <f>Table1[[#This Row],[taxable wages]]</f>
        <v>302000</v>
      </c>
      <c r="D641" s="1">
        <f>Table1[[#This Row],[taxable wages]]+interest+dividends+short_term_capital_gains+long_term_capital_gains</f>
        <v>302000</v>
      </c>
      <c r="E641" s="1">
        <f>MAX(Table1[[#This Row],[earned income for EITC]:[Agi For Eitc Calc]])</f>
        <v>302000</v>
      </c>
      <c r="F641" s="1">
        <f>Table1[[#This Row],[taxable wages]]+interest+dividends+short_term_capital_gains+long_term_capital_gains-(trad_ira_contributions+MIN(student_loan_interest_cap,student_loan_interest))</f>
        <v>302000</v>
      </c>
      <c r="G641" s="1">
        <f t="shared" si="53"/>
        <v>12600</v>
      </c>
      <c r="H641" s="1">
        <f t="shared" si="54"/>
        <v>28350</v>
      </c>
      <c r="I641" s="1">
        <f>MAX(0,Table1[[#This Row],[Agi]]-Table1[[#This Row],[Exemptions]]-Table1[[#This Row],[Effective Deductions]])</f>
        <v>261050</v>
      </c>
      <c r="J6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61559.5</v>
      </c>
      <c r="K641" s="1">
        <f t="shared" si="55"/>
        <v>5000</v>
      </c>
      <c r="L641" s="1">
        <f>IF(Table1[[#This Row],[Agi]]&gt;ctc_phase_out_begins,ctc_phase_out_rate*(Table1[[#This Row],[Agi]]-ctc_phase_out_begins),0)</f>
        <v>9600</v>
      </c>
      <c r="M641" s="1">
        <f>MAX(Table1[[#This Row],[Child Tax Credit]]-Table1[[#This Row],[Child Tax Credit Phase Out]],0)</f>
        <v>0</v>
      </c>
      <c r="N641" s="1">
        <f>MAX(Table1[[#This Row],[Regular Taxes Owed]]-Table1[[#This Row],[Effective Child Tax Credit]],0)</f>
        <v>61559.5</v>
      </c>
      <c r="O641" s="1">
        <f>MAX(MIN((Table1[[#This Row],[taxable wages]]-3000)*0.15,1000*num_kids_16_younger),0)</f>
        <v>5000</v>
      </c>
      <c r="P641" s="9">
        <f>IF(Table1[[#This Row],[Effective Child Tax Credit]]&gt;Table1[[#This Row],[Regular Taxes Owed]],Table1[[#This Row],[Additional Child Tax Credit ]]-Table1[[#This Row],[Regular Taxes Owed]],0)</f>
        <v>0</v>
      </c>
      <c r="Q6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1" s="1">
        <f>Table1[[#This Row],[Effective Additional Child Tax Credit]]+Table1[[#This Row],[Eitc]]</f>
        <v>0</v>
      </c>
      <c r="S641" s="9">
        <f>Table1[[#This Row],[Regular Taxes Owed - Effective Child Tax Credit]]-Table1[[#This Row],[Total Credits]]</f>
        <v>61559.5</v>
      </c>
      <c r="T641" s="9">
        <f>Table1[[#This Row],[taxable wages]]+interest+dividends+short_term_capital_gains+long_term_capital_gains-(charitable_donations+mortgage_interest)</f>
        <v>302000</v>
      </c>
      <c r="U641" s="9">
        <f>MAX(amt_exemption-amt_exemption_phase_out_rate*MAX(Table1[[#This Row],[taxable wages]]-amt_phase_out_begins,0),0)</f>
        <v>48225</v>
      </c>
      <c r="V6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67331</v>
      </c>
      <c r="W641" s="1">
        <f>IF(AND(Table1[[#This Row],[AMT Taxes]]&gt;Table1[[#This Row],[Regular Taxes Owed]],Table1[[#This Row],[AMT Taxes]]&gt;0),Table1[[#This Row],[AMT Taxes]]-Table1[[#This Row],[Regular Taxes Owed]],0)</f>
        <v>5771.5</v>
      </c>
      <c r="X641" s="9">
        <f>Table1[[#This Row],[Extra Taxes From Amt]]+Table1[[#This Row],[Federal Taxes Owed (No AMT)]]</f>
        <v>67331</v>
      </c>
      <c r="Y641" s="9">
        <f>IF(Table1[[#This Row],[taxable wages]]&gt;obamacare_surcharge_amount,obamacare_surcharge_percent*(Table1[[#This Row],[taxable wages]]-obamacare_surcharge_amount),0)</f>
        <v>467.99999999999994</v>
      </c>
      <c r="Z641" s="9">
        <f>Table1[[#This Row],[Federal Taxes Owed (Includes AMT)]]+Table1[[#This Row],[Obamacare surcharge premium]]</f>
        <v>67799</v>
      </c>
      <c r="AA641" s="9">
        <f>Table1[[#This Row],[taxable wages]]-Table1[[#This Row],[Federal Taxes Owed2]]</f>
        <v>234201</v>
      </c>
      <c r="AB641" s="51">
        <f t="shared" si="56"/>
        <v>0.35899999999999999</v>
      </c>
      <c r="AC641" s="41"/>
      <c r="AD641" s="13"/>
      <c r="AE641" s="13"/>
    </row>
    <row r="642" spans="2:31" x14ac:dyDescent="0.3">
      <c r="B642" s="41">
        <f t="shared" si="57"/>
        <v>302500</v>
      </c>
      <c r="C642" s="1">
        <f>Table1[[#This Row],[taxable wages]]</f>
        <v>302500</v>
      </c>
      <c r="D642" s="1">
        <f>Table1[[#This Row],[taxable wages]]+interest+dividends+short_term_capital_gains+long_term_capital_gains</f>
        <v>302500</v>
      </c>
      <c r="E642" s="1">
        <f>MAX(Table1[[#This Row],[earned income for EITC]:[Agi For Eitc Calc]])</f>
        <v>302500</v>
      </c>
      <c r="F642" s="1">
        <f>Table1[[#This Row],[taxable wages]]+interest+dividends+short_term_capital_gains+long_term_capital_gains-(trad_ira_contributions+MIN(student_loan_interest_cap,student_loan_interest))</f>
        <v>302500</v>
      </c>
      <c r="G642" s="1">
        <f t="shared" si="53"/>
        <v>12600</v>
      </c>
      <c r="H642" s="1">
        <f t="shared" si="54"/>
        <v>28350</v>
      </c>
      <c r="I642" s="1">
        <f>MAX(0,Table1[[#This Row],[Agi]]-Table1[[#This Row],[Exemptions]]-Table1[[#This Row],[Effective Deductions]])</f>
        <v>261550</v>
      </c>
      <c r="J64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61724.5</v>
      </c>
      <c r="K642" s="1">
        <f t="shared" si="55"/>
        <v>5000</v>
      </c>
      <c r="L642" s="1">
        <f>IF(Table1[[#This Row],[Agi]]&gt;ctc_phase_out_begins,ctc_phase_out_rate*(Table1[[#This Row],[Agi]]-ctc_phase_out_begins),0)</f>
        <v>9625</v>
      </c>
      <c r="M642" s="1">
        <f>MAX(Table1[[#This Row],[Child Tax Credit]]-Table1[[#This Row],[Child Tax Credit Phase Out]],0)</f>
        <v>0</v>
      </c>
      <c r="N642" s="1">
        <f>MAX(Table1[[#This Row],[Regular Taxes Owed]]-Table1[[#This Row],[Effective Child Tax Credit]],0)</f>
        <v>61724.5</v>
      </c>
      <c r="O642" s="1">
        <f>MAX(MIN((Table1[[#This Row],[taxable wages]]-3000)*0.15,1000*num_kids_16_younger),0)</f>
        <v>5000</v>
      </c>
      <c r="P642" s="9">
        <f>IF(Table1[[#This Row],[Effective Child Tax Credit]]&gt;Table1[[#This Row],[Regular Taxes Owed]],Table1[[#This Row],[Additional Child Tax Credit ]]-Table1[[#This Row],[Regular Taxes Owed]],0)</f>
        <v>0</v>
      </c>
      <c r="Q64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2" s="1">
        <f>Table1[[#This Row],[Effective Additional Child Tax Credit]]+Table1[[#This Row],[Eitc]]</f>
        <v>0</v>
      </c>
      <c r="S642" s="9">
        <f>Table1[[#This Row],[Regular Taxes Owed - Effective Child Tax Credit]]-Table1[[#This Row],[Total Credits]]</f>
        <v>61724.5</v>
      </c>
      <c r="T642" s="9">
        <f>Table1[[#This Row],[taxable wages]]+interest+dividends+short_term_capital_gains+long_term_capital_gains-(charitable_donations+mortgage_interest)</f>
        <v>302500</v>
      </c>
      <c r="U642" s="9">
        <f>MAX(amt_exemption-amt_exemption_phase_out_rate*MAX(Table1[[#This Row],[taxable wages]]-amt_phase_out_begins,0),0)</f>
        <v>48100</v>
      </c>
      <c r="V64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67506</v>
      </c>
      <c r="W642" s="1">
        <f>IF(AND(Table1[[#This Row],[AMT Taxes]]&gt;Table1[[#This Row],[Regular Taxes Owed]],Table1[[#This Row],[AMT Taxes]]&gt;0),Table1[[#This Row],[AMT Taxes]]-Table1[[#This Row],[Regular Taxes Owed]],0)</f>
        <v>5781.5</v>
      </c>
      <c r="X642" s="9">
        <f>Table1[[#This Row],[Extra Taxes From Amt]]+Table1[[#This Row],[Federal Taxes Owed (No AMT)]]</f>
        <v>67506</v>
      </c>
      <c r="Y642" s="9">
        <f>IF(Table1[[#This Row],[taxable wages]]&gt;obamacare_surcharge_amount,obamacare_surcharge_percent*(Table1[[#This Row],[taxable wages]]-obamacare_surcharge_amount),0)</f>
        <v>472.49999999999994</v>
      </c>
      <c r="Z642" s="9">
        <f>Table1[[#This Row],[Federal Taxes Owed (Includes AMT)]]+Table1[[#This Row],[Obamacare surcharge premium]]</f>
        <v>67978.5</v>
      </c>
      <c r="AA642" s="9">
        <f>Table1[[#This Row],[taxable wages]]-Table1[[#This Row],[Federal Taxes Owed2]]</f>
        <v>234521.5</v>
      </c>
      <c r="AB642" s="51">
        <f t="shared" si="56"/>
        <v>0.35899999999999999</v>
      </c>
      <c r="AC642" s="41"/>
      <c r="AD642" s="13"/>
      <c r="AE642" s="13"/>
    </row>
    <row r="643" spans="2:31" x14ac:dyDescent="0.3">
      <c r="B643" s="41">
        <f t="shared" si="57"/>
        <v>303000</v>
      </c>
      <c r="C643" s="1">
        <f>Table1[[#This Row],[taxable wages]]</f>
        <v>303000</v>
      </c>
      <c r="D643" s="1">
        <f>Table1[[#This Row],[taxable wages]]+interest+dividends+short_term_capital_gains+long_term_capital_gains</f>
        <v>303000</v>
      </c>
      <c r="E643" s="1">
        <f>MAX(Table1[[#This Row],[earned income for EITC]:[Agi For Eitc Calc]])</f>
        <v>303000</v>
      </c>
      <c r="F643" s="1">
        <f>Table1[[#This Row],[taxable wages]]+interest+dividends+short_term_capital_gains+long_term_capital_gains-(trad_ira_contributions+MIN(student_loan_interest_cap,student_loan_interest))</f>
        <v>303000</v>
      </c>
      <c r="G643" s="1">
        <f t="shared" si="53"/>
        <v>12600</v>
      </c>
      <c r="H643" s="1">
        <f t="shared" si="54"/>
        <v>28350</v>
      </c>
      <c r="I643" s="1">
        <f>MAX(0,Table1[[#This Row],[Agi]]-Table1[[#This Row],[Exemptions]]-Table1[[#This Row],[Effective Deductions]])</f>
        <v>262050</v>
      </c>
      <c r="J64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61889.5</v>
      </c>
      <c r="K643" s="1">
        <f t="shared" si="55"/>
        <v>5000</v>
      </c>
      <c r="L643" s="1">
        <f>IF(Table1[[#This Row],[Agi]]&gt;ctc_phase_out_begins,ctc_phase_out_rate*(Table1[[#This Row],[Agi]]-ctc_phase_out_begins),0)</f>
        <v>9650</v>
      </c>
      <c r="M643" s="1">
        <f>MAX(Table1[[#This Row],[Child Tax Credit]]-Table1[[#This Row],[Child Tax Credit Phase Out]],0)</f>
        <v>0</v>
      </c>
      <c r="N643" s="1">
        <f>MAX(Table1[[#This Row],[Regular Taxes Owed]]-Table1[[#This Row],[Effective Child Tax Credit]],0)</f>
        <v>61889.5</v>
      </c>
      <c r="O643" s="1">
        <f>MAX(MIN((Table1[[#This Row],[taxable wages]]-3000)*0.15,1000*num_kids_16_younger),0)</f>
        <v>5000</v>
      </c>
      <c r="P643" s="9">
        <f>IF(Table1[[#This Row],[Effective Child Tax Credit]]&gt;Table1[[#This Row],[Regular Taxes Owed]],Table1[[#This Row],[Additional Child Tax Credit ]]-Table1[[#This Row],[Regular Taxes Owed]],0)</f>
        <v>0</v>
      </c>
      <c r="Q64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3" s="1">
        <f>Table1[[#This Row],[Effective Additional Child Tax Credit]]+Table1[[#This Row],[Eitc]]</f>
        <v>0</v>
      </c>
      <c r="S643" s="9">
        <f>Table1[[#This Row],[Regular Taxes Owed - Effective Child Tax Credit]]-Table1[[#This Row],[Total Credits]]</f>
        <v>61889.5</v>
      </c>
      <c r="T643" s="9">
        <f>Table1[[#This Row],[taxable wages]]+interest+dividends+short_term_capital_gains+long_term_capital_gains-(charitable_donations+mortgage_interest)</f>
        <v>303000</v>
      </c>
      <c r="U643" s="9">
        <f>MAX(amt_exemption-amt_exemption_phase_out_rate*MAX(Table1[[#This Row],[taxable wages]]-amt_phase_out_begins,0),0)</f>
        <v>47975</v>
      </c>
      <c r="V64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67681</v>
      </c>
      <c r="W643" s="1">
        <f>IF(AND(Table1[[#This Row],[AMT Taxes]]&gt;Table1[[#This Row],[Regular Taxes Owed]],Table1[[#This Row],[AMT Taxes]]&gt;0),Table1[[#This Row],[AMT Taxes]]-Table1[[#This Row],[Regular Taxes Owed]],0)</f>
        <v>5791.5</v>
      </c>
      <c r="X643" s="9">
        <f>Table1[[#This Row],[Extra Taxes From Amt]]+Table1[[#This Row],[Federal Taxes Owed (No AMT)]]</f>
        <v>67681</v>
      </c>
      <c r="Y643" s="9">
        <f>IF(Table1[[#This Row],[taxable wages]]&gt;obamacare_surcharge_amount,obamacare_surcharge_percent*(Table1[[#This Row],[taxable wages]]-obamacare_surcharge_amount),0)</f>
        <v>476.99999999999994</v>
      </c>
      <c r="Z643" s="9">
        <f>Table1[[#This Row],[Federal Taxes Owed (Includes AMT)]]+Table1[[#This Row],[Obamacare surcharge premium]]</f>
        <v>68158</v>
      </c>
      <c r="AA643" s="9">
        <f>Table1[[#This Row],[taxable wages]]-Table1[[#This Row],[Federal Taxes Owed2]]</f>
        <v>234842</v>
      </c>
      <c r="AB643" s="51">
        <f t="shared" si="56"/>
        <v>0.35899999999999999</v>
      </c>
      <c r="AC643" s="41"/>
      <c r="AD643" s="13"/>
      <c r="AE643" s="13"/>
    </row>
    <row r="644" spans="2:31" x14ac:dyDescent="0.3">
      <c r="B644" s="41">
        <f t="shared" si="57"/>
        <v>303500</v>
      </c>
      <c r="C644" s="1">
        <f>Table1[[#This Row],[taxable wages]]</f>
        <v>303500</v>
      </c>
      <c r="D644" s="1">
        <f>Table1[[#This Row],[taxable wages]]+interest+dividends+short_term_capital_gains+long_term_capital_gains</f>
        <v>303500</v>
      </c>
      <c r="E644" s="1">
        <f>MAX(Table1[[#This Row],[earned income for EITC]:[Agi For Eitc Calc]])</f>
        <v>303500</v>
      </c>
      <c r="F644" s="1">
        <f>Table1[[#This Row],[taxable wages]]+interest+dividends+short_term_capital_gains+long_term_capital_gains-(trad_ira_contributions+MIN(student_loan_interest_cap,student_loan_interest))</f>
        <v>303500</v>
      </c>
      <c r="G644" s="1">
        <f t="shared" si="53"/>
        <v>12600</v>
      </c>
      <c r="H644" s="1">
        <f t="shared" si="54"/>
        <v>28350</v>
      </c>
      <c r="I644" s="1">
        <f>MAX(0,Table1[[#This Row],[Agi]]-Table1[[#This Row],[Exemptions]]-Table1[[#This Row],[Effective Deductions]])</f>
        <v>262550</v>
      </c>
      <c r="J64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62054.5</v>
      </c>
      <c r="K644" s="1">
        <f t="shared" si="55"/>
        <v>5000</v>
      </c>
      <c r="L644" s="1">
        <f>IF(Table1[[#This Row],[Agi]]&gt;ctc_phase_out_begins,ctc_phase_out_rate*(Table1[[#This Row],[Agi]]-ctc_phase_out_begins),0)</f>
        <v>9675</v>
      </c>
      <c r="M644" s="1">
        <f>MAX(Table1[[#This Row],[Child Tax Credit]]-Table1[[#This Row],[Child Tax Credit Phase Out]],0)</f>
        <v>0</v>
      </c>
      <c r="N644" s="1">
        <f>MAX(Table1[[#This Row],[Regular Taxes Owed]]-Table1[[#This Row],[Effective Child Tax Credit]],0)</f>
        <v>62054.5</v>
      </c>
      <c r="O644" s="1">
        <f>MAX(MIN((Table1[[#This Row],[taxable wages]]-3000)*0.15,1000*num_kids_16_younger),0)</f>
        <v>5000</v>
      </c>
      <c r="P644" s="9">
        <f>IF(Table1[[#This Row],[Effective Child Tax Credit]]&gt;Table1[[#This Row],[Regular Taxes Owed]],Table1[[#This Row],[Additional Child Tax Credit ]]-Table1[[#This Row],[Regular Taxes Owed]],0)</f>
        <v>0</v>
      </c>
      <c r="Q64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4" s="1">
        <f>Table1[[#This Row],[Effective Additional Child Tax Credit]]+Table1[[#This Row],[Eitc]]</f>
        <v>0</v>
      </c>
      <c r="S644" s="9">
        <f>Table1[[#This Row],[Regular Taxes Owed - Effective Child Tax Credit]]-Table1[[#This Row],[Total Credits]]</f>
        <v>62054.5</v>
      </c>
      <c r="T644" s="9">
        <f>Table1[[#This Row],[taxable wages]]+interest+dividends+short_term_capital_gains+long_term_capital_gains-(charitable_donations+mortgage_interest)</f>
        <v>303500</v>
      </c>
      <c r="U644" s="9">
        <f>MAX(amt_exemption-amt_exemption_phase_out_rate*MAX(Table1[[#This Row],[taxable wages]]-amt_phase_out_begins,0),0)</f>
        <v>47850</v>
      </c>
      <c r="V64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67856</v>
      </c>
      <c r="W644" s="1">
        <f>IF(AND(Table1[[#This Row],[AMT Taxes]]&gt;Table1[[#This Row],[Regular Taxes Owed]],Table1[[#This Row],[AMT Taxes]]&gt;0),Table1[[#This Row],[AMT Taxes]]-Table1[[#This Row],[Regular Taxes Owed]],0)</f>
        <v>5801.5</v>
      </c>
      <c r="X644" s="9">
        <f>Table1[[#This Row],[Extra Taxes From Amt]]+Table1[[#This Row],[Federal Taxes Owed (No AMT)]]</f>
        <v>67856</v>
      </c>
      <c r="Y644" s="9">
        <f>IF(Table1[[#This Row],[taxable wages]]&gt;obamacare_surcharge_amount,obamacare_surcharge_percent*(Table1[[#This Row],[taxable wages]]-obamacare_surcharge_amount),0)</f>
        <v>481.49999999999994</v>
      </c>
      <c r="Z644" s="9">
        <f>Table1[[#This Row],[Federal Taxes Owed (Includes AMT)]]+Table1[[#This Row],[Obamacare surcharge premium]]</f>
        <v>68337.5</v>
      </c>
      <c r="AA644" s="9">
        <f>Table1[[#This Row],[taxable wages]]-Table1[[#This Row],[Federal Taxes Owed2]]</f>
        <v>235162.5</v>
      </c>
      <c r="AB644" s="51">
        <f t="shared" si="56"/>
        <v>0.35899999999999999</v>
      </c>
      <c r="AC644" s="41"/>
      <c r="AD644" s="13"/>
      <c r="AE644" s="13"/>
    </row>
    <row r="645" spans="2:31" x14ac:dyDescent="0.3">
      <c r="B645" s="41">
        <f t="shared" si="57"/>
        <v>304000</v>
      </c>
      <c r="C645" s="1">
        <f>Table1[[#This Row],[taxable wages]]</f>
        <v>304000</v>
      </c>
      <c r="D645" s="1">
        <f>Table1[[#This Row],[taxable wages]]+interest+dividends+short_term_capital_gains+long_term_capital_gains</f>
        <v>304000</v>
      </c>
      <c r="E645" s="1">
        <f>MAX(Table1[[#This Row],[earned income for EITC]:[Agi For Eitc Calc]])</f>
        <v>304000</v>
      </c>
      <c r="F645" s="1">
        <f>Table1[[#This Row],[taxable wages]]+interest+dividends+short_term_capital_gains+long_term_capital_gains-(trad_ira_contributions+MIN(student_loan_interest_cap,student_loan_interest))</f>
        <v>304000</v>
      </c>
      <c r="G645" s="1">
        <f t="shared" si="53"/>
        <v>12600</v>
      </c>
      <c r="H645" s="1">
        <f t="shared" si="54"/>
        <v>28350</v>
      </c>
      <c r="I645" s="1">
        <f>MAX(0,Table1[[#This Row],[Agi]]-Table1[[#This Row],[Exemptions]]-Table1[[#This Row],[Effective Deductions]])</f>
        <v>263050</v>
      </c>
      <c r="J64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62219.5</v>
      </c>
      <c r="K645" s="1">
        <f t="shared" si="55"/>
        <v>5000</v>
      </c>
      <c r="L645" s="1">
        <f>IF(Table1[[#This Row],[Agi]]&gt;ctc_phase_out_begins,ctc_phase_out_rate*(Table1[[#This Row],[Agi]]-ctc_phase_out_begins),0)</f>
        <v>9700</v>
      </c>
      <c r="M645" s="1">
        <f>MAX(Table1[[#This Row],[Child Tax Credit]]-Table1[[#This Row],[Child Tax Credit Phase Out]],0)</f>
        <v>0</v>
      </c>
      <c r="N645" s="1">
        <f>MAX(Table1[[#This Row],[Regular Taxes Owed]]-Table1[[#This Row],[Effective Child Tax Credit]],0)</f>
        <v>62219.5</v>
      </c>
      <c r="O645" s="1">
        <f>MAX(MIN((Table1[[#This Row],[taxable wages]]-3000)*0.15,1000*num_kids_16_younger),0)</f>
        <v>5000</v>
      </c>
      <c r="P645" s="9">
        <f>IF(Table1[[#This Row],[Effective Child Tax Credit]]&gt;Table1[[#This Row],[Regular Taxes Owed]],Table1[[#This Row],[Additional Child Tax Credit ]]-Table1[[#This Row],[Regular Taxes Owed]],0)</f>
        <v>0</v>
      </c>
      <c r="Q64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5" s="1">
        <f>Table1[[#This Row],[Effective Additional Child Tax Credit]]+Table1[[#This Row],[Eitc]]</f>
        <v>0</v>
      </c>
      <c r="S645" s="9">
        <f>Table1[[#This Row],[Regular Taxes Owed - Effective Child Tax Credit]]-Table1[[#This Row],[Total Credits]]</f>
        <v>62219.5</v>
      </c>
      <c r="T645" s="9">
        <f>Table1[[#This Row],[taxable wages]]+interest+dividends+short_term_capital_gains+long_term_capital_gains-(charitable_donations+mortgage_interest)</f>
        <v>304000</v>
      </c>
      <c r="U645" s="9">
        <f>MAX(amt_exemption-amt_exemption_phase_out_rate*MAX(Table1[[#This Row],[taxable wages]]-amt_phase_out_begins,0),0)</f>
        <v>47725</v>
      </c>
      <c r="V64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68031</v>
      </c>
      <c r="W645" s="1">
        <f>IF(AND(Table1[[#This Row],[AMT Taxes]]&gt;Table1[[#This Row],[Regular Taxes Owed]],Table1[[#This Row],[AMT Taxes]]&gt;0),Table1[[#This Row],[AMT Taxes]]-Table1[[#This Row],[Regular Taxes Owed]],0)</f>
        <v>5811.5</v>
      </c>
      <c r="X645" s="9">
        <f>Table1[[#This Row],[Extra Taxes From Amt]]+Table1[[#This Row],[Federal Taxes Owed (No AMT)]]</f>
        <v>68031</v>
      </c>
      <c r="Y645" s="9">
        <f>IF(Table1[[#This Row],[taxable wages]]&gt;obamacare_surcharge_amount,obamacare_surcharge_percent*(Table1[[#This Row],[taxable wages]]-obamacare_surcharge_amount),0)</f>
        <v>485.99999999999994</v>
      </c>
      <c r="Z645" s="9">
        <f>Table1[[#This Row],[Federal Taxes Owed (Includes AMT)]]+Table1[[#This Row],[Obamacare surcharge premium]]</f>
        <v>68517</v>
      </c>
      <c r="AA645" s="9">
        <f>Table1[[#This Row],[taxable wages]]-Table1[[#This Row],[Federal Taxes Owed2]]</f>
        <v>235483</v>
      </c>
      <c r="AB645" s="51">
        <f t="shared" si="56"/>
        <v>0.35899999999999999</v>
      </c>
      <c r="AC645" s="41"/>
      <c r="AD645" s="13"/>
      <c r="AE645" s="13"/>
    </row>
    <row r="646" spans="2:31" x14ac:dyDescent="0.3">
      <c r="B646" s="41">
        <f t="shared" si="57"/>
        <v>304500</v>
      </c>
      <c r="C646" s="1">
        <f>Table1[[#This Row],[taxable wages]]</f>
        <v>304500</v>
      </c>
      <c r="D646" s="1">
        <f>Table1[[#This Row],[taxable wages]]+interest+dividends+short_term_capital_gains+long_term_capital_gains</f>
        <v>304500</v>
      </c>
      <c r="E646" s="1">
        <f>MAX(Table1[[#This Row],[earned income for EITC]:[Agi For Eitc Calc]])</f>
        <v>304500</v>
      </c>
      <c r="F646" s="1">
        <f>Table1[[#This Row],[taxable wages]]+interest+dividends+short_term_capital_gains+long_term_capital_gains-(trad_ira_contributions+MIN(student_loan_interest_cap,student_loan_interest))</f>
        <v>304500</v>
      </c>
      <c r="G646" s="1">
        <f t="shared" si="53"/>
        <v>12600</v>
      </c>
      <c r="H646" s="1">
        <f t="shared" si="54"/>
        <v>28350</v>
      </c>
      <c r="I646" s="1">
        <f>MAX(0,Table1[[#This Row],[Agi]]-Table1[[#This Row],[Exemptions]]-Table1[[#This Row],[Effective Deductions]])</f>
        <v>263550</v>
      </c>
      <c r="J64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62384.5</v>
      </c>
      <c r="K646" s="1">
        <f t="shared" si="55"/>
        <v>5000</v>
      </c>
      <c r="L646" s="1">
        <f>IF(Table1[[#This Row],[Agi]]&gt;ctc_phase_out_begins,ctc_phase_out_rate*(Table1[[#This Row],[Agi]]-ctc_phase_out_begins),0)</f>
        <v>9725</v>
      </c>
      <c r="M646" s="1">
        <f>MAX(Table1[[#This Row],[Child Tax Credit]]-Table1[[#This Row],[Child Tax Credit Phase Out]],0)</f>
        <v>0</v>
      </c>
      <c r="N646" s="1">
        <f>MAX(Table1[[#This Row],[Regular Taxes Owed]]-Table1[[#This Row],[Effective Child Tax Credit]],0)</f>
        <v>62384.5</v>
      </c>
      <c r="O646" s="1">
        <f>MAX(MIN((Table1[[#This Row],[taxable wages]]-3000)*0.15,1000*num_kids_16_younger),0)</f>
        <v>5000</v>
      </c>
      <c r="P646" s="9">
        <f>IF(Table1[[#This Row],[Effective Child Tax Credit]]&gt;Table1[[#This Row],[Regular Taxes Owed]],Table1[[#This Row],[Additional Child Tax Credit ]]-Table1[[#This Row],[Regular Taxes Owed]],0)</f>
        <v>0</v>
      </c>
      <c r="Q64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6" s="1">
        <f>Table1[[#This Row],[Effective Additional Child Tax Credit]]+Table1[[#This Row],[Eitc]]</f>
        <v>0</v>
      </c>
      <c r="S646" s="9">
        <f>Table1[[#This Row],[Regular Taxes Owed - Effective Child Tax Credit]]-Table1[[#This Row],[Total Credits]]</f>
        <v>62384.5</v>
      </c>
      <c r="T646" s="9">
        <f>Table1[[#This Row],[taxable wages]]+interest+dividends+short_term_capital_gains+long_term_capital_gains-(charitable_donations+mortgage_interest)</f>
        <v>304500</v>
      </c>
      <c r="U646" s="9">
        <f>MAX(amt_exemption-amt_exemption_phase_out_rate*MAX(Table1[[#This Row],[taxable wages]]-amt_phase_out_begins,0),0)</f>
        <v>47600</v>
      </c>
      <c r="V64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68206</v>
      </c>
      <c r="W646" s="1">
        <f>IF(AND(Table1[[#This Row],[AMT Taxes]]&gt;Table1[[#This Row],[Regular Taxes Owed]],Table1[[#This Row],[AMT Taxes]]&gt;0),Table1[[#This Row],[AMT Taxes]]-Table1[[#This Row],[Regular Taxes Owed]],0)</f>
        <v>5821.5</v>
      </c>
      <c r="X646" s="9">
        <f>Table1[[#This Row],[Extra Taxes From Amt]]+Table1[[#This Row],[Federal Taxes Owed (No AMT)]]</f>
        <v>68206</v>
      </c>
      <c r="Y646" s="9">
        <f>IF(Table1[[#This Row],[taxable wages]]&gt;obamacare_surcharge_amount,obamacare_surcharge_percent*(Table1[[#This Row],[taxable wages]]-obamacare_surcharge_amount),0)</f>
        <v>490.49999999999994</v>
      </c>
      <c r="Z646" s="9">
        <f>Table1[[#This Row],[Federal Taxes Owed (Includes AMT)]]+Table1[[#This Row],[Obamacare surcharge premium]]</f>
        <v>68696.5</v>
      </c>
      <c r="AA646" s="9">
        <f>Table1[[#This Row],[taxable wages]]-Table1[[#This Row],[Federal Taxes Owed2]]</f>
        <v>235803.5</v>
      </c>
      <c r="AB646" s="51">
        <f t="shared" si="56"/>
        <v>0.35899999999999999</v>
      </c>
      <c r="AC646" s="41"/>
      <c r="AD646" s="13"/>
      <c r="AE646" s="13"/>
    </row>
    <row r="647" spans="2:31" x14ac:dyDescent="0.3">
      <c r="B647" s="41">
        <f t="shared" si="57"/>
        <v>305000</v>
      </c>
      <c r="C647" s="1">
        <f>Table1[[#This Row],[taxable wages]]</f>
        <v>305000</v>
      </c>
      <c r="D647" s="1">
        <f>Table1[[#This Row],[taxable wages]]+interest+dividends+short_term_capital_gains+long_term_capital_gains</f>
        <v>305000</v>
      </c>
      <c r="E647" s="1">
        <f>MAX(Table1[[#This Row],[earned income for EITC]:[Agi For Eitc Calc]])</f>
        <v>305000</v>
      </c>
      <c r="F647" s="1">
        <f>Table1[[#This Row],[taxable wages]]+interest+dividends+short_term_capital_gains+long_term_capital_gains-(trad_ira_contributions+MIN(student_loan_interest_cap,student_loan_interest))</f>
        <v>305000</v>
      </c>
      <c r="G647" s="1">
        <f t="shared" si="53"/>
        <v>12600</v>
      </c>
      <c r="H647" s="1">
        <f t="shared" si="54"/>
        <v>28350</v>
      </c>
      <c r="I647" s="1">
        <f>MAX(0,Table1[[#This Row],[Agi]]-Table1[[#This Row],[Exemptions]]-Table1[[#This Row],[Effective Deductions]])</f>
        <v>264050</v>
      </c>
      <c r="J64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62549.5</v>
      </c>
      <c r="K647" s="1">
        <f t="shared" si="55"/>
        <v>5000</v>
      </c>
      <c r="L647" s="1">
        <f>IF(Table1[[#This Row],[Agi]]&gt;ctc_phase_out_begins,ctc_phase_out_rate*(Table1[[#This Row],[Agi]]-ctc_phase_out_begins),0)</f>
        <v>9750</v>
      </c>
      <c r="M647" s="1">
        <f>MAX(Table1[[#This Row],[Child Tax Credit]]-Table1[[#This Row],[Child Tax Credit Phase Out]],0)</f>
        <v>0</v>
      </c>
      <c r="N647" s="1">
        <f>MAX(Table1[[#This Row],[Regular Taxes Owed]]-Table1[[#This Row],[Effective Child Tax Credit]],0)</f>
        <v>62549.5</v>
      </c>
      <c r="O647" s="1">
        <f>MAX(MIN((Table1[[#This Row],[taxable wages]]-3000)*0.15,1000*num_kids_16_younger),0)</f>
        <v>5000</v>
      </c>
      <c r="P647" s="9">
        <f>IF(Table1[[#This Row],[Effective Child Tax Credit]]&gt;Table1[[#This Row],[Regular Taxes Owed]],Table1[[#This Row],[Additional Child Tax Credit ]]-Table1[[#This Row],[Regular Taxes Owed]],0)</f>
        <v>0</v>
      </c>
      <c r="Q64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7" s="1">
        <f>Table1[[#This Row],[Effective Additional Child Tax Credit]]+Table1[[#This Row],[Eitc]]</f>
        <v>0</v>
      </c>
      <c r="S647" s="9">
        <f>Table1[[#This Row],[Regular Taxes Owed - Effective Child Tax Credit]]-Table1[[#This Row],[Total Credits]]</f>
        <v>62549.5</v>
      </c>
      <c r="T647" s="9">
        <f>Table1[[#This Row],[taxable wages]]+interest+dividends+short_term_capital_gains+long_term_capital_gains-(charitable_donations+mortgage_interest)</f>
        <v>305000</v>
      </c>
      <c r="U647" s="9">
        <f>MAX(amt_exemption-amt_exemption_phase_out_rate*MAX(Table1[[#This Row],[taxable wages]]-amt_phase_out_begins,0),0)</f>
        <v>47475</v>
      </c>
      <c r="V64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68381</v>
      </c>
      <c r="W647" s="1">
        <f>IF(AND(Table1[[#This Row],[AMT Taxes]]&gt;Table1[[#This Row],[Regular Taxes Owed]],Table1[[#This Row],[AMT Taxes]]&gt;0),Table1[[#This Row],[AMT Taxes]]-Table1[[#This Row],[Regular Taxes Owed]],0)</f>
        <v>5831.5</v>
      </c>
      <c r="X647" s="9">
        <f>Table1[[#This Row],[Extra Taxes From Amt]]+Table1[[#This Row],[Federal Taxes Owed (No AMT)]]</f>
        <v>68381</v>
      </c>
      <c r="Y647" s="9">
        <f>IF(Table1[[#This Row],[taxable wages]]&gt;obamacare_surcharge_amount,obamacare_surcharge_percent*(Table1[[#This Row],[taxable wages]]-obamacare_surcharge_amount),0)</f>
        <v>494.99999999999994</v>
      </c>
      <c r="Z647" s="9">
        <f>Table1[[#This Row],[Federal Taxes Owed (Includes AMT)]]+Table1[[#This Row],[Obamacare surcharge premium]]</f>
        <v>68876</v>
      </c>
      <c r="AA647" s="9">
        <f>Table1[[#This Row],[taxable wages]]-Table1[[#This Row],[Federal Taxes Owed2]]</f>
        <v>236124</v>
      </c>
      <c r="AB647" s="51">
        <f t="shared" si="56"/>
        <v>0.35899999999999999</v>
      </c>
      <c r="AC647" s="41"/>
      <c r="AD647" s="13"/>
      <c r="AE647" s="13"/>
    </row>
    <row r="648" spans="2:31" x14ac:dyDescent="0.3">
      <c r="B648" s="41">
        <f t="shared" si="57"/>
        <v>305500</v>
      </c>
      <c r="C648" s="1">
        <f>Table1[[#This Row],[taxable wages]]</f>
        <v>305500</v>
      </c>
      <c r="D648" s="1">
        <f>Table1[[#This Row],[taxable wages]]+interest+dividends+short_term_capital_gains+long_term_capital_gains</f>
        <v>305500</v>
      </c>
      <c r="E648" s="1">
        <f>MAX(Table1[[#This Row],[earned income for EITC]:[Agi For Eitc Calc]])</f>
        <v>305500</v>
      </c>
      <c r="F648" s="1">
        <f>Table1[[#This Row],[taxable wages]]+interest+dividends+short_term_capital_gains+long_term_capital_gains-(trad_ira_contributions+MIN(student_loan_interest_cap,student_loan_interest))</f>
        <v>305500</v>
      </c>
      <c r="G648" s="1">
        <f t="shared" si="53"/>
        <v>12600</v>
      </c>
      <c r="H648" s="1">
        <f t="shared" si="54"/>
        <v>28350</v>
      </c>
      <c r="I648" s="1">
        <f>MAX(0,Table1[[#This Row],[Agi]]-Table1[[#This Row],[Exemptions]]-Table1[[#This Row],[Effective Deductions]])</f>
        <v>264550</v>
      </c>
      <c r="J64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62714.5</v>
      </c>
      <c r="K648" s="1">
        <f t="shared" si="55"/>
        <v>5000</v>
      </c>
      <c r="L648" s="1">
        <f>IF(Table1[[#This Row],[Agi]]&gt;ctc_phase_out_begins,ctc_phase_out_rate*(Table1[[#This Row],[Agi]]-ctc_phase_out_begins),0)</f>
        <v>9775</v>
      </c>
      <c r="M648" s="1">
        <f>MAX(Table1[[#This Row],[Child Tax Credit]]-Table1[[#This Row],[Child Tax Credit Phase Out]],0)</f>
        <v>0</v>
      </c>
      <c r="N648" s="1">
        <f>MAX(Table1[[#This Row],[Regular Taxes Owed]]-Table1[[#This Row],[Effective Child Tax Credit]],0)</f>
        <v>62714.5</v>
      </c>
      <c r="O648" s="1">
        <f>MAX(MIN((Table1[[#This Row],[taxable wages]]-3000)*0.15,1000*num_kids_16_younger),0)</f>
        <v>5000</v>
      </c>
      <c r="P648" s="9">
        <f>IF(Table1[[#This Row],[Effective Child Tax Credit]]&gt;Table1[[#This Row],[Regular Taxes Owed]],Table1[[#This Row],[Additional Child Tax Credit ]]-Table1[[#This Row],[Regular Taxes Owed]],0)</f>
        <v>0</v>
      </c>
      <c r="Q64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8" s="1">
        <f>Table1[[#This Row],[Effective Additional Child Tax Credit]]+Table1[[#This Row],[Eitc]]</f>
        <v>0</v>
      </c>
      <c r="S648" s="9">
        <f>Table1[[#This Row],[Regular Taxes Owed - Effective Child Tax Credit]]-Table1[[#This Row],[Total Credits]]</f>
        <v>62714.5</v>
      </c>
      <c r="T648" s="9">
        <f>Table1[[#This Row],[taxable wages]]+interest+dividends+short_term_capital_gains+long_term_capital_gains-(charitable_donations+mortgage_interest)</f>
        <v>305500</v>
      </c>
      <c r="U648" s="9">
        <f>MAX(amt_exemption-amt_exemption_phase_out_rate*MAX(Table1[[#This Row],[taxable wages]]-amt_phase_out_begins,0),0)</f>
        <v>47350</v>
      </c>
      <c r="V64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68556</v>
      </c>
      <c r="W648" s="1">
        <f>IF(AND(Table1[[#This Row],[AMT Taxes]]&gt;Table1[[#This Row],[Regular Taxes Owed]],Table1[[#This Row],[AMT Taxes]]&gt;0),Table1[[#This Row],[AMT Taxes]]-Table1[[#This Row],[Regular Taxes Owed]],0)</f>
        <v>5841.5</v>
      </c>
      <c r="X648" s="9">
        <f>Table1[[#This Row],[Extra Taxes From Amt]]+Table1[[#This Row],[Federal Taxes Owed (No AMT)]]</f>
        <v>68556</v>
      </c>
      <c r="Y648" s="9">
        <f>IF(Table1[[#This Row],[taxable wages]]&gt;obamacare_surcharge_amount,obamacare_surcharge_percent*(Table1[[#This Row],[taxable wages]]-obamacare_surcharge_amount),0)</f>
        <v>499.49999999999994</v>
      </c>
      <c r="Z648" s="9">
        <f>Table1[[#This Row],[Federal Taxes Owed (Includes AMT)]]+Table1[[#This Row],[Obamacare surcharge premium]]</f>
        <v>69055.5</v>
      </c>
      <c r="AA648" s="9">
        <f>Table1[[#This Row],[taxable wages]]-Table1[[#This Row],[Federal Taxes Owed2]]</f>
        <v>236444.5</v>
      </c>
      <c r="AB648" s="51">
        <f t="shared" si="56"/>
        <v>0.35899999999999999</v>
      </c>
      <c r="AC648" s="41"/>
      <c r="AD648" s="13"/>
      <c r="AE648" s="13"/>
    </row>
    <row r="649" spans="2:31" x14ac:dyDescent="0.3">
      <c r="B649" s="41">
        <f t="shared" si="57"/>
        <v>306000</v>
      </c>
      <c r="C649" s="1">
        <f>Table1[[#This Row],[taxable wages]]</f>
        <v>306000</v>
      </c>
      <c r="D649" s="1">
        <f>Table1[[#This Row],[taxable wages]]+interest+dividends+short_term_capital_gains+long_term_capital_gains</f>
        <v>306000</v>
      </c>
      <c r="E649" s="1">
        <f>MAX(Table1[[#This Row],[earned income for EITC]:[Agi For Eitc Calc]])</f>
        <v>306000</v>
      </c>
      <c r="F649" s="1">
        <f>Table1[[#This Row],[taxable wages]]+interest+dividends+short_term_capital_gains+long_term_capital_gains-(trad_ira_contributions+MIN(student_loan_interest_cap,student_loan_interest))</f>
        <v>306000</v>
      </c>
      <c r="G649" s="1">
        <f t="shared" si="53"/>
        <v>12600</v>
      </c>
      <c r="H649" s="1">
        <f t="shared" si="54"/>
        <v>28350</v>
      </c>
      <c r="I649" s="1">
        <f>MAX(0,Table1[[#This Row],[Agi]]-Table1[[#This Row],[Exemptions]]-Table1[[#This Row],[Effective Deductions]])</f>
        <v>265050</v>
      </c>
      <c r="J64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62879.5</v>
      </c>
      <c r="K649" s="1">
        <f t="shared" si="55"/>
        <v>5000</v>
      </c>
      <c r="L649" s="1">
        <f>IF(Table1[[#This Row],[Agi]]&gt;ctc_phase_out_begins,ctc_phase_out_rate*(Table1[[#This Row],[Agi]]-ctc_phase_out_begins),0)</f>
        <v>9800</v>
      </c>
      <c r="M649" s="1">
        <f>MAX(Table1[[#This Row],[Child Tax Credit]]-Table1[[#This Row],[Child Tax Credit Phase Out]],0)</f>
        <v>0</v>
      </c>
      <c r="N649" s="1">
        <f>MAX(Table1[[#This Row],[Regular Taxes Owed]]-Table1[[#This Row],[Effective Child Tax Credit]],0)</f>
        <v>62879.5</v>
      </c>
      <c r="O649" s="1">
        <f>MAX(MIN((Table1[[#This Row],[taxable wages]]-3000)*0.15,1000*num_kids_16_younger),0)</f>
        <v>5000</v>
      </c>
      <c r="P649" s="9">
        <f>IF(Table1[[#This Row],[Effective Child Tax Credit]]&gt;Table1[[#This Row],[Regular Taxes Owed]],Table1[[#This Row],[Additional Child Tax Credit ]]-Table1[[#This Row],[Regular Taxes Owed]],0)</f>
        <v>0</v>
      </c>
      <c r="Q64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49" s="1">
        <f>Table1[[#This Row],[Effective Additional Child Tax Credit]]+Table1[[#This Row],[Eitc]]</f>
        <v>0</v>
      </c>
      <c r="S649" s="9">
        <f>Table1[[#This Row],[Regular Taxes Owed - Effective Child Tax Credit]]-Table1[[#This Row],[Total Credits]]</f>
        <v>62879.5</v>
      </c>
      <c r="T649" s="9">
        <f>Table1[[#This Row],[taxable wages]]+interest+dividends+short_term_capital_gains+long_term_capital_gains-(charitable_donations+mortgage_interest)</f>
        <v>306000</v>
      </c>
      <c r="U649" s="9">
        <f>MAX(amt_exemption-amt_exemption_phase_out_rate*MAX(Table1[[#This Row],[taxable wages]]-amt_phase_out_begins,0),0)</f>
        <v>47225</v>
      </c>
      <c r="V64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68731</v>
      </c>
      <c r="W649" s="1">
        <f>IF(AND(Table1[[#This Row],[AMT Taxes]]&gt;Table1[[#This Row],[Regular Taxes Owed]],Table1[[#This Row],[AMT Taxes]]&gt;0),Table1[[#This Row],[AMT Taxes]]-Table1[[#This Row],[Regular Taxes Owed]],0)</f>
        <v>5851.5</v>
      </c>
      <c r="X649" s="9">
        <f>Table1[[#This Row],[Extra Taxes From Amt]]+Table1[[#This Row],[Federal Taxes Owed (No AMT)]]</f>
        <v>68731</v>
      </c>
      <c r="Y649" s="9">
        <f>IF(Table1[[#This Row],[taxable wages]]&gt;obamacare_surcharge_amount,obamacare_surcharge_percent*(Table1[[#This Row],[taxable wages]]-obamacare_surcharge_amount),0)</f>
        <v>503.99999999999994</v>
      </c>
      <c r="Z649" s="9">
        <f>Table1[[#This Row],[Federal Taxes Owed (Includes AMT)]]+Table1[[#This Row],[Obamacare surcharge premium]]</f>
        <v>69235</v>
      </c>
      <c r="AA649" s="9">
        <f>Table1[[#This Row],[taxable wages]]-Table1[[#This Row],[Federal Taxes Owed2]]</f>
        <v>236765</v>
      </c>
      <c r="AB649" s="51">
        <f t="shared" si="56"/>
        <v>0.35899999999999999</v>
      </c>
      <c r="AC649" s="41"/>
      <c r="AD649" s="13"/>
      <c r="AE649" s="13"/>
    </row>
    <row r="650" spans="2:31" x14ac:dyDescent="0.3">
      <c r="B650" s="41">
        <f t="shared" si="57"/>
        <v>306500</v>
      </c>
      <c r="C650" s="1">
        <f>Table1[[#This Row],[taxable wages]]</f>
        <v>306500</v>
      </c>
      <c r="D650" s="1">
        <f>Table1[[#This Row],[taxable wages]]+interest+dividends+short_term_capital_gains+long_term_capital_gains</f>
        <v>306500</v>
      </c>
      <c r="E650" s="1">
        <f>MAX(Table1[[#This Row],[earned income for EITC]:[Agi For Eitc Calc]])</f>
        <v>306500</v>
      </c>
      <c r="F650" s="1">
        <f>Table1[[#This Row],[taxable wages]]+interest+dividends+short_term_capital_gains+long_term_capital_gains-(trad_ira_contributions+MIN(student_loan_interest_cap,student_loan_interest))</f>
        <v>306500</v>
      </c>
      <c r="G650" s="1">
        <f t="shared" si="53"/>
        <v>12600</v>
      </c>
      <c r="H650" s="1">
        <f t="shared" si="54"/>
        <v>28350</v>
      </c>
      <c r="I650" s="1">
        <f>MAX(0,Table1[[#This Row],[Agi]]-Table1[[#This Row],[Exemptions]]-Table1[[#This Row],[Effective Deductions]])</f>
        <v>265550</v>
      </c>
      <c r="J65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63044.5</v>
      </c>
      <c r="K650" s="1">
        <f t="shared" si="55"/>
        <v>5000</v>
      </c>
      <c r="L650" s="1">
        <f>IF(Table1[[#This Row],[Agi]]&gt;ctc_phase_out_begins,ctc_phase_out_rate*(Table1[[#This Row],[Agi]]-ctc_phase_out_begins),0)</f>
        <v>9825</v>
      </c>
      <c r="M650" s="1">
        <f>MAX(Table1[[#This Row],[Child Tax Credit]]-Table1[[#This Row],[Child Tax Credit Phase Out]],0)</f>
        <v>0</v>
      </c>
      <c r="N650" s="1">
        <f>MAX(Table1[[#This Row],[Regular Taxes Owed]]-Table1[[#This Row],[Effective Child Tax Credit]],0)</f>
        <v>63044.5</v>
      </c>
      <c r="O650" s="1">
        <f>MAX(MIN((Table1[[#This Row],[taxable wages]]-3000)*0.15,1000*num_kids_16_younger),0)</f>
        <v>5000</v>
      </c>
      <c r="P650" s="9">
        <f>IF(Table1[[#This Row],[Effective Child Tax Credit]]&gt;Table1[[#This Row],[Regular Taxes Owed]],Table1[[#This Row],[Additional Child Tax Credit ]]-Table1[[#This Row],[Regular Taxes Owed]],0)</f>
        <v>0</v>
      </c>
      <c r="Q65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0" s="1">
        <f>Table1[[#This Row],[Effective Additional Child Tax Credit]]+Table1[[#This Row],[Eitc]]</f>
        <v>0</v>
      </c>
      <c r="S650" s="9">
        <f>Table1[[#This Row],[Regular Taxes Owed - Effective Child Tax Credit]]-Table1[[#This Row],[Total Credits]]</f>
        <v>63044.5</v>
      </c>
      <c r="T650" s="9">
        <f>Table1[[#This Row],[taxable wages]]+interest+dividends+short_term_capital_gains+long_term_capital_gains-(charitable_donations+mortgage_interest)</f>
        <v>306500</v>
      </c>
      <c r="U650" s="9">
        <f>MAX(amt_exemption-amt_exemption_phase_out_rate*MAX(Table1[[#This Row],[taxable wages]]-amt_phase_out_begins,0),0)</f>
        <v>47100</v>
      </c>
      <c r="V65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68906</v>
      </c>
      <c r="W650" s="1">
        <f>IF(AND(Table1[[#This Row],[AMT Taxes]]&gt;Table1[[#This Row],[Regular Taxes Owed]],Table1[[#This Row],[AMT Taxes]]&gt;0),Table1[[#This Row],[AMT Taxes]]-Table1[[#This Row],[Regular Taxes Owed]],0)</f>
        <v>5861.5</v>
      </c>
      <c r="X650" s="9">
        <f>Table1[[#This Row],[Extra Taxes From Amt]]+Table1[[#This Row],[Federal Taxes Owed (No AMT)]]</f>
        <v>68906</v>
      </c>
      <c r="Y650" s="9">
        <f>IF(Table1[[#This Row],[taxable wages]]&gt;obamacare_surcharge_amount,obamacare_surcharge_percent*(Table1[[#This Row],[taxable wages]]-obamacare_surcharge_amount),0)</f>
        <v>508.49999999999994</v>
      </c>
      <c r="Z650" s="9">
        <f>Table1[[#This Row],[Federal Taxes Owed (Includes AMT)]]+Table1[[#This Row],[Obamacare surcharge premium]]</f>
        <v>69414.5</v>
      </c>
      <c r="AA650" s="9">
        <f>Table1[[#This Row],[taxable wages]]-Table1[[#This Row],[Federal Taxes Owed2]]</f>
        <v>237085.5</v>
      </c>
      <c r="AB650" s="51">
        <f t="shared" si="56"/>
        <v>0.35899999999999999</v>
      </c>
      <c r="AC650" s="41"/>
      <c r="AD650" s="13"/>
      <c r="AE650" s="13"/>
    </row>
    <row r="651" spans="2:31" x14ac:dyDescent="0.3">
      <c r="B651" s="41">
        <f t="shared" si="57"/>
        <v>307000</v>
      </c>
      <c r="C651" s="1">
        <f>Table1[[#This Row],[taxable wages]]</f>
        <v>307000</v>
      </c>
      <c r="D651" s="1">
        <f>Table1[[#This Row],[taxable wages]]+interest+dividends+short_term_capital_gains+long_term_capital_gains</f>
        <v>307000</v>
      </c>
      <c r="E651" s="1">
        <f>MAX(Table1[[#This Row],[earned income for EITC]:[Agi For Eitc Calc]])</f>
        <v>307000</v>
      </c>
      <c r="F651" s="1">
        <f>Table1[[#This Row],[taxable wages]]+interest+dividends+short_term_capital_gains+long_term_capital_gains-(trad_ira_contributions+MIN(student_loan_interest_cap,student_loan_interest))</f>
        <v>307000</v>
      </c>
      <c r="G651" s="1">
        <f t="shared" si="53"/>
        <v>12600</v>
      </c>
      <c r="H651" s="1">
        <f t="shared" si="54"/>
        <v>28350</v>
      </c>
      <c r="I651" s="1">
        <f>MAX(0,Table1[[#This Row],[Agi]]-Table1[[#This Row],[Exemptions]]-Table1[[#This Row],[Effective Deductions]])</f>
        <v>266050</v>
      </c>
      <c r="J65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63209.5</v>
      </c>
      <c r="K651" s="1">
        <f t="shared" si="55"/>
        <v>5000</v>
      </c>
      <c r="L651" s="1">
        <f>IF(Table1[[#This Row],[Agi]]&gt;ctc_phase_out_begins,ctc_phase_out_rate*(Table1[[#This Row],[Agi]]-ctc_phase_out_begins),0)</f>
        <v>9850</v>
      </c>
      <c r="M651" s="1">
        <f>MAX(Table1[[#This Row],[Child Tax Credit]]-Table1[[#This Row],[Child Tax Credit Phase Out]],0)</f>
        <v>0</v>
      </c>
      <c r="N651" s="1">
        <f>MAX(Table1[[#This Row],[Regular Taxes Owed]]-Table1[[#This Row],[Effective Child Tax Credit]],0)</f>
        <v>63209.5</v>
      </c>
      <c r="O651" s="1">
        <f>MAX(MIN((Table1[[#This Row],[taxable wages]]-3000)*0.15,1000*num_kids_16_younger),0)</f>
        <v>5000</v>
      </c>
      <c r="P651" s="9">
        <f>IF(Table1[[#This Row],[Effective Child Tax Credit]]&gt;Table1[[#This Row],[Regular Taxes Owed]],Table1[[#This Row],[Additional Child Tax Credit ]]-Table1[[#This Row],[Regular Taxes Owed]],0)</f>
        <v>0</v>
      </c>
      <c r="Q65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1" s="1">
        <f>Table1[[#This Row],[Effective Additional Child Tax Credit]]+Table1[[#This Row],[Eitc]]</f>
        <v>0</v>
      </c>
      <c r="S651" s="9">
        <f>Table1[[#This Row],[Regular Taxes Owed - Effective Child Tax Credit]]-Table1[[#This Row],[Total Credits]]</f>
        <v>63209.5</v>
      </c>
      <c r="T651" s="9">
        <f>Table1[[#This Row],[taxable wages]]+interest+dividends+short_term_capital_gains+long_term_capital_gains-(charitable_donations+mortgage_interest)</f>
        <v>307000</v>
      </c>
      <c r="U651" s="9">
        <f>MAX(amt_exemption-amt_exemption_phase_out_rate*MAX(Table1[[#This Row],[taxable wages]]-amt_phase_out_begins,0),0)</f>
        <v>46975</v>
      </c>
      <c r="V65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69081</v>
      </c>
      <c r="W651" s="1">
        <f>IF(AND(Table1[[#This Row],[AMT Taxes]]&gt;Table1[[#This Row],[Regular Taxes Owed]],Table1[[#This Row],[AMT Taxes]]&gt;0),Table1[[#This Row],[AMT Taxes]]-Table1[[#This Row],[Regular Taxes Owed]],0)</f>
        <v>5871.5</v>
      </c>
      <c r="X651" s="9">
        <f>Table1[[#This Row],[Extra Taxes From Amt]]+Table1[[#This Row],[Federal Taxes Owed (No AMT)]]</f>
        <v>69081</v>
      </c>
      <c r="Y651" s="9">
        <f>IF(Table1[[#This Row],[taxable wages]]&gt;obamacare_surcharge_amount,obamacare_surcharge_percent*(Table1[[#This Row],[taxable wages]]-obamacare_surcharge_amount),0)</f>
        <v>513</v>
      </c>
      <c r="Z651" s="9">
        <f>Table1[[#This Row],[Federal Taxes Owed (Includes AMT)]]+Table1[[#This Row],[Obamacare surcharge premium]]</f>
        <v>69594</v>
      </c>
      <c r="AA651" s="9">
        <f>Table1[[#This Row],[taxable wages]]-Table1[[#This Row],[Federal Taxes Owed2]]</f>
        <v>237406</v>
      </c>
      <c r="AB651" s="51">
        <f t="shared" si="56"/>
        <v>0.35899999999999999</v>
      </c>
      <c r="AC651" s="41"/>
      <c r="AD651" s="13"/>
      <c r="AE651" s="13"/>
    </row>
    <row r="652" spans="2:31" x14ac:dyDescent="0.3">
      <c r="B652" s="41">
        <f t="shared" si="57"/>
        <v>307500</v>
      </c>
      <c r="C652" s="1">
        <f>Table1[[#This Row],[taxable wages]]</f>
        <v>307500</v>
      </c>
      <c r="D652" s="1">
        <f>Table1[[#This Row],[taxable wages]]+interest+dividends+short_term_capital_gains+long_term_capital_gains</f>
        <v>307500</v>
      </c>
      <c r="E652" s="1">
        <f>MAX(Table1[[#This Row],[earned income for EITC]:[Agi For Eitc Calc]])</f>
        <v>307500</v>
      </c>
      <c r="F652" s="1">
        <f>Table1[[#This Row],[taxable wages]]+interest+dividends+short_term_capital_gains+long_term_capital_gains-(trad_ira_contributions+MIN(student_loan_interest_cap,student_loan_interest))</f>
        <v>307500</v>
      </c>
      <c r="G652" s="1">
        <f t="shared" si="53"/>
        <v>12600</v>
      </c>
      <c r="H652" s="1">
        <f t="shared" si="54"/>
        <v>28350</v>
      </c>
      <c r="I652" s="1">
        <f>MAX(0,Table1[[#This Row],[Agi]]-Table1[[#This Row],[Exemptions]]-Table1[[#This Row],[Effective Deductions]])</f>
        <v>266550</v>
      </c>
      <c r="J65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63374.5</v>
      </c>
      <c r="K652" s="1">
        <f t="shared" si="55"/>
        <v>5000</v>
      </c>
      <c r="L652" s="1">
        <f>IF(Table1[[#This Row],[Agi]]&gt;ctc_phase_out_begins,ctc_phase_out_rate*(Table1[[#This Row],[Agi]]-ctc_phase_out_begins),0)</f>
        <v>9875</v>
      </c>
      <c r="M652" s="1">
        <f>MAX(Table1[[#This Row],[Child Tax Credit]]-Table1[[#This Row],[Child Tax Credit Phase Out]],0)</f>
        <v>0</v>
      </c>
      <c r="N652" s="1">
        <f>MAX(Table1[[#This Row],[Regular Taxes Owed]]-Table1[[#This Row],[Effective Child Tax Credit]],0)</f>
        <v>63374.5</v>
      </c>
      <c r="O652" s="1">
        <f>MAX(MIN((Table1[[#This Row],[taxable wages]]-3000)*0.15,1000*num_kids_16_younger),0)</f>
        <v>5000</v>
      </c>
      <c r="P652" s="9">
        <f>IF(Table1[[#This Row],[Effective Child Tax Credit]]&gt;Table1[[#This Row],[Regular Taxes Owed]],Table1[[#This Row],[Additional Child Tax Credit ]]-Table1[[#This Row],[Regular Taxes Owed]],0)</f>
        <v>0</v>
      </c>
      <c r="Q65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2" s="1">
        <f>Table1[[#This Row],[Effective Additional Child Tax Credit]]+Table1[[#This Row],[Eitc]]</f>
        <v>0</v>
      </c>
      <c r="S652" s="9">
        <f>Table1[[#This Row],[Regular Taxes Owed - Effective Child Tax Credit]]-Table1[[#This Row],[Total Credits]]</f>
        <v>63374.5</v>
      </c>
      <c r="T652" s="9">
        <f>Table1[[#This Row],[taxable wages]]+interest+dividends+short_term_capital_gains+long_term_capital_gains-(charitable_donations+mortgage_interest)</f>
        <v>307500</v>
      </c>
      <c r="U652" s="9">
        <f>MAX(amt_exemption-amt_exemption_phase_out_rate*MAX(Table1[[#This Row],[taxable wages]]-amt_phase_out_begins,0),0)</f>
        <v>46850</v>
      </c>
      <c r="V65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69256</v>
      </c>
      <c r="W652" s="1">
        <f>IF(AND(Table1[[#This Row],[AMT Taxes]]&gt;Table1[[#This Row],[Regular Taxes Owed]],Table1[[#This Row],[AMT Taxes]]&gt;0),Table1[[#This Row],[AMT Taxes]]-Table1[[#This Row],[Regular Taxes Owed]],0)</f>
        <v>5881.5</v>
      </c>
      <c r="X652" s="9">
        <f>Table1[[#This Row],[Extra Taxes From Amt]]+Table1[[#This Row],[Federal Taxes Owed (No AMT)]]</f>
        <v>69256</v>
      </c>
      <c r="Y652" s="9">
        <f>IF(Table1[[#This Row],[taxable wages]]&gt;obamacare_surcharge_amount,obamacare_surcharge_percent*(Table1[[#This Row],[taxable wages]]-obamacare_surcharge_amount),0)</f>
        <v>517.5</v>
      </c>
      <c r="Z652" s="9">
        <f>Table1[[#This Row],[Federal Taxes Owed (Includes AMT)]]+Table1[[#This Row],[Obamacare surcharge premium]]</f>
        <v>69773.5</v>
      </c>
      <c r="AA652" s="9">
        <f>Table1[[#This Row],[taxable wages]]-Table1[[#This Row],[Federal Taxes Owed2]]</f>
        <v>237726.5</v>
      </c>
      <c r="AB652" s="51">
        <f t="shared" si="56"/>
        <v>0.35899999999999999</v>
      </c>
      <c r="AC652" s="41"/>
      <c r="AD652" s="13"/>
      <c r="AE652" s="13"/>
    </row>
    <row r="653" spans="2:31" x14ac:dyDescent="0.3">
      <c r="B653" s="41">
        <f t="shared" si="57"/>
        <v>308000</v>
      </c>
      <c r="C653" s="1">
        <f>Table1[[#This Row],[taxable wages]]</f>
        <v>308000</v>
      </c>
      <c r="D653" s="1">
        <f>Table1[[#This Row],[taxable wages]]+interest+dividends+short_term_capital_gains+long_term_capital_gains</f>
        <v>308000</v>
      </c>
      <c r="E653" s="1">
        <f>MAX(Table1[[#This Row],[earned income for EITC]:[Agi For Eitc Calc]])</f>
        <v>308000</v>
      </c>
      <c r="F653" s="1">
        <f>Table1[[#This Row],[taxable wages]]+interest+dividends+short_term_capital_gains+long_term_capital_gains-(trad_ira_contributions+MIN(student_loan_interest_cap,student_loan_interest))</f>
        <v>308000</v>
      </c>
      <c r="G653" s="1">
        <f t="shared" si="53"/>
        <v>12600</v>
      </c>
      <c r="H653" s="1">
        <f t="shared" si="54"/>
        <v>28350</v>
      </c>
      <c r="I653" s="1">
        <f>MAX(0,Table1[[#This Row],[Agi]]-Table1[[#This Row],[Exemptions]]-Table1[[#This Row],[Effective Deductions]])</f>
        <v>267050</v>
      </c>
      <c r="J65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63539.5</v>
      </c>
      <c r="K653" s="1">
        <f t="shared" si="55"/>
        <v>5000</v>
      </c>
      <c r="L653" s="1">
        <f>IF(Table1[[#This Row],[Agi]]&gt;ctc_phase_out_begins,ctc_phase_out_rate*(Table1[[#This Row],[Agi]]-ctc_phase_out_begins),0)</f>
        <v>9900</v>
      </c>
      <c r="M653" s="1">
        <f>MAX(Table1[[#This Row],[Child Tax Credit]]-Table1[[#This Row],[Child Tax Credit Phase Out]],0)</f>
        <v>0</v>
      </c>
      <c r="N653" s="1">
        <f>MAX(Table1[[#This Row],[Regular Taxes Owed]]-Table1[[#This Row],[Effective Child Tax Credit]],0)</f>
        <v>63539.5</v>
      </c>
      <c r="O653" s="1">
        <f>MAX(MIN((Table1[[#This Row],[taxable wages]]-3000)*0.15,1000*num_kids_16_younger),0)</f>
        <v>5000</v>
      </c>
      <c r="P653" s="9">
        <f>IF(Table1[[#This Row],[Effective Child Tax Credit]]&gt;Table1[[#This Row],[Regular Taxes Owed]],Table1[[#This Row],[Additional Child Tax Credit ]]-Table1[[#This Row],[Regular Taxes Owed]],0)</f>
        <v>0</v>
      </c>
      <c r="Q65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3" s="1">
        <f>Table1[[#This Row],[Effective Additional Child Tax Credit]]+Table1[[#This Row],[Eitc]]</f>
        <v>0</v>
      </c>
      <c r="S653" s="9">
        <f>Table1[[#This Row],[Regular Taxes Owed - Effective Child Tax Credit]]-Table1[[#This Row],[Total Credits]]</f>
        <v>63539.5</v>
      </c>
      <c r="T653" s="9">
        <f>Table1[[#This Row],[taxable wages]]+interest+dividends+short_term_capital_gains+long_term_capital_gains-(charitable_donations+mortgage_interest)</f>
        <v>308000</v>
      </c>
      <c r="U653" s="9">
        <f>MAX(amt_exemption-amt_exemption_phase_out_rate*MAX(Table1[[#This Row],[taxable wages]]-amt_phase_out_begins,0),0)</f>
        <v>46725</v>
      </c>
      <c r="V65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69431</v>
      </c>
      <c r="W653" s="1">
        <f>IF(AND(Table1[[#This Row],[AMT Taxes]]&gt;Table1[[#This Row],[Regular Taxes Owed]],Table1[[#This Row],[AMT Taxes]]&gt;0),Table1[[#This Row],[AMT Taxes]]-Table1[[#This Row],[Regular Taxes Owed]],0)</f>
        <v>5891.5</v>
      </c>
      <c r="X653" s="9">
        <f>Table1[[#This Row],[Extra Taxes From Amt]]+Table1[[#This Row],[Federal Taxes Owed (No AMT)]]</f>
        <v>69431</v>
      </c>
      <c r="Y653" s="9">
        <f>IF(Table1[[#This Row],[taxable wages]]&gt;obamacare_surcharge_amount,obamacare_surcharge_percent*(Table1[[#This Row],[taxable wages]]-obamacare_surcharge_amount),0)</f>
        <v>522</v>
      </c>
      <c r="Z653" s="9">
        <f>Table1[[#This Row],[Federal Taxes Owed (Includes AMT)]]+Table1[[#This Row],[Obamacare surcharge premium]]</f>
        <v>69953</v>
      </c>
      <c r="AA653" s="9">
        <f>Table1[[#This Row],[taxable wages]]-Table1[[#This Row],[Federal Taxes Owed2]]</f>
        <v>238047</v>
      </c>
      <c r="AB653" s="51">
        <f t="shared" si="56"/>
        <v>0.35899999999999999</v>
      </c>
      <c r="AC653" s="41"/>
      <c r="AD653" s="13"/>
      <c r="AE653" s="13"/>
    </row>
    <row r="654" spans="2:31" x14ac:dyDescent="0.3">
      <c r="B654" s="41">
        <f t="shared" si="57"/>
        <v>308500</v>
      </c>
      <c r="C654" s="1">
        <f>Table1[[#This Row],[taxable wages]]</f>
        <v>308500</v>
      </c>
      <c r="D654" s="1">
        <f>Table1[[#This Row],[taxable wages]]+interest+dividends+short_term_capital_gains+long_term_capital_gains</f>
        <v>308500</v>
      </c>
      <c r="E654" s="1">
        <f>MAX(Table1[[#This Row],[earned income for EITC]:[Agi For Eitc Calc]])</f>
        <v>308500</v>
      </c>
      <c r="F654" s="1">
        <f>Table1[[#This Row],[taxable wages]]+interest+dividends+short_term_capital_gains+long_term_capital_gains-(trad_ira_contributions+MIN(student_loan_interest_cap,student_loan_interest))</f>
        <v>308500</v>
      </c>
      <c r="G654" s="1">
        <f t="shared" si="53"/>
        <v>12600</v>
      </c>
      <c r="H654" s="1">
        <f t="shared" si="54"/>
        <v>28350</v>
      </c>
      <c r="I654" s="1">
        <f>MAX(0,Table1[[#This Row],[Agi]]-Table1[[#This Row],[Exemptions]]-Table1[[#This Row],[Effective Deductions]])</f>
        <v>267550</v>
      </c>
      <c r="J65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63704.5</v>
      </c>
      <c r="K654" s="1">
        <f t="shared" si="55"/>
        <v>5000</v>
      </c>
      <c r="L654" s="1">
        <f>IF(Table1[[#This Row],[Agi]]&gt;ctc_phase_out_begins,ctc_phase_out_rate*(Table1[[#This Row],[Agi]]-ctc_phase_out_begins),0)</f>
        <v>9925</v>
      </c>
      <c r="M654" s="1">
        <f>MAX(Table1[[#This Row],[Child Tax Credit]]-Table1[[#This Row],[Child Tax Credit Phase Out]],0)</f>
        <v>0</v>
      </c>
      <c r="N654" s="1">
        <f>MAX(Table1[[#This Row],[Regular Taxes Owed]]-Table1[[#This Row],[Effective Child Tax Credit]],0)</f>
        <v>63704.5</v>
      </c>
      <c r="O654" s="1">
        <f>MAX(MIN((Table1[[#This Row],[taxable wages]]-3000)*0.15,1000*num_kids_16_younger),0)</f>
        <v>5000</v>
      </c>
      <c r="P654" s="9">
        <f>IF(Table1[[#This Row],[Effective Child Tax Credit]]&gt;Table1[[#This Row],[Regular Taxes Owed]],Table1[[#This Row],[Additional Child Tax Credit ]]-Table1[[#This Row],[Regular Taxes Owed]],0)</f>
        <v>0</v>
      </c>
      <c r="Q65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4" s="1">
        <f>Table1[[#This Row],[Effective Additional Child Tax Credit]]+Table1[[#This Row],[Eitc]]</f>
        <v>0</v>
      </c>
      <c r="S654" s="9">
        <f>Table1[[#This Row],[Regular Taxes Owed - Effective Child Tax Credit]]-Table1[[#This Row],[Total Credits]]</f>
        <v>63704.5</v>
      </c>
      <c r="T654" s="9">
        <f>Table1[[#This Row],[taxable wages]]+interest+dividends+short_term_capital_gains+long_term_capital_gains-(charitable_donations+mortgage_interest)</f>
        <v>308500</v>
      </c>
      <c r="U654" s="9">
        <f>MAX(amt_exemption-amt_exemption_phase_out_rate*MAX(Table1[[#This Row],[taxable wages]]-amt_phase_out_begins,0),0)</f>
        <v>46600</v>
      </c>
      <c r="V65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69606</v>
      </c>
      <c r="W654" s="1">
        <f>IF(AND(Table1[[#This Row],[AMT Taxes]]&gt;Table1[[#This Row],[Regular Taxes Owed]],Table1[[#This Row],[AMT Taxes]]&gt;0),Table1[[#This Row],[AMT Taxes]]-Table1[[#This Row],[Regular Taxes Owed]],0)</f>
        <v>5901.5</v>
      </c>
      <c r="X654" s="9">
        <f>Table1[[#This Row],[Extra Taxes From Amt]]+Table1[[#This Row],[Federal Taxes Owed (No AMT)]]</f>
        <v>69606</v>
      </c>
      <c r="Y654" s="9">
        <f>IF(Table1[[#This Row],[taxable wages]]&gt;obamacare_surcharge_amount,obamacare_surcharge_percent*(Table1[[#This Row],[taxable wages]]-obamacare_surcharge_amount),0)</f>
        <v>526.5</v>
      </c>
      <c r="Z654" s="9">
        <f>Table1[[#This Row],[Federal Taxes Owed (Includes AMT)]]+Table1[[#This Row],[Obamacare surcharge premium]]</f>
        <v>70132.5</v>
      </c>
      <c r="AA654" s="9">
        <f>Table1[[#This Row],[taxable wages]]-Table1[[#This Row],[Federal Taxes Owed2]]</f>
        <v>238367.5</v>
      </c>
      <c r="AB654" s="51">
        <f t="shared" si="56"/>
        <v>0.35899999999999999</v>
      </c>
      <c r="AC654" s="41"/>
      <c r="AD654" s="13"/>
      <c r="AE654" s="13"/>
    </row>
    <row r="655" spans="2:31" x14ac:dyDescent="0.3">
      <c r="B655" s="41">
        <f t="shared" si="57"/>
        <v>309000</v>
      </c>
      <c r="C655" s="1">
        <f>Table1[[#This Row],[taxable wages]]</f>
        <v>309000</v>
      </c>
      <c r="D655" s="1">
        <f>Table1[[#This Row],[taxable wages]]+interest+dividends+short_term_capital_gains+long_term_capital_gains</f>
        <v>309000</v>
      </c>
      <c r="E655" s="1">
        <f>MAX(Table1[[#This Row],[earned income for EITC]:[Agi For Eitc Calc]])</f>
        <v>309000</v>
      </c>
      <c r="F655" s="1">
        <f>Table1[[#This Row],[taxable wages]]+interest+dividends+short_term_capital_gains+long_term_capital_gains-(trad_ira_contributions+MIN(student_loan_interest_cap,student_loan_interest))</f>
        <v>309000</v>
      </c>
      <c r="G655" s="1">
        <f t="shared" si="53"/>
        <v>12600</v>
      </c>
      <c r="H655" s="1">
        <f t="shared" si="54"/>
        <v>28350</v>
      </c>
      <c r="I655" s="1">
        <f>MAX(0,Table1[[#This Row],[Agi]]-Table1[[#This Row],[Exemptions]]-Table1[[#This Row],[Effective Deductions]])</f>
        <v>268050</v>
      </c>
      <c r="J65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63869.5</v>
      </c>
      <c r="K655" s="1">
        <f t="shared" si="55"/>
        <v>5000</v>
      </c>
      <c r="L655" s="1">
        <f>IF(Table1[[#This Row],[Agi]]&gt;ctc_phase_out_begins,ctc_phase_out_rate*(Table1[[#This Row],[Agi]]-ctc_phase_out_begins),0)</f>
        <v>9950</v>
      </c>
      <c r="M655" s="1">
        <f>MAX(Table1[[#This Row],[Child Tax Credit]]-Table1[[#This Row],[Child Tax Credit Phase Out]],0)</f>
        <v>0</v>
      </c>
      <c r="N655" s="1">
        <f>MAX(Table1[[#This Row],[Regular Taxes Owed]]-Table1[[#This Row],[Effective Child Tax Credit]],0)</f>
        <v>63869.5</v>
      </c>
      <c r="O655" s="1">
        <f>MAX(MIN((Table1[[#This Row],[taxable wages]]-3000)*0.15,1000*num_kids_16_younger),0)</f>
        <v>5000</v>
      </c>
      <c r="P655" s="9">
        <f>IF(Table1[[#This Row],[Effective Child Tax Credit]]&gt;Table1[[#This Row],[Regular Taxes Owed]],Table1[[#This Row],[Additional Child Tax Credit ]]-Table1[[#This Row],[Regular Taxes Owed]],0)</f>
        <v>0</v>
      </c>
      <c r="Q65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5" s="1">
        <f>Table1[[#This Row],[Effective Additional Child Tax Credit]]+Table1[[#This Row],[Eitc]]</f>
        <v>0</v>
      </c>
      <c r="S655" s="9">
        <f>Table1[[#This Row],[Regular Taxes Owed - Effective Child Tax Credit]]-Table1[[#This Row],[Total Credits]]</f>
        <v>63869.5</v>
      </c>
      <c r="T655" s="9">
        <f>Table1[[#This Row],[taxable wages]]+interest+dividends+short_term_capital_gains+long_term_capital_gains-(charitable_donations+mortgage_interest)</f>
        <v>309000</v>
      </c>
      <c r="U655" s="9">
        <f>MAX(amt_exemption-amt_exemption_phase_out_rate*MAX(Table1[[#This Row],[taxable wages]]-amt_phase_out_begins,0),0)</f>
        <v>46475</v>
      </c>
      <c r="V65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69781</v>
      </c>
      <c r="W655" s="1">
        <f>IF(AND(Table1[[#This Row],[AMT Taxes]]&gt;Table1[[#This Row],[Regular Taxes Owed]],Table1[[#This Row],[AMT Taxes]]&gt;0),Table1[[#This Row],[AMT Taxes]]-Table1[[#This Row],[Regular Taxes Owed]],0)</f>
        <v>5911.5</v>
      </c>
      <c r="X655" s="9">
        <f>Table1[[#This Row],[Extra Taxes From Amt]]+Table1[[#This Row],[Federal Taxes Owed (No AMT)]]</f>
        <v>69781</v>
      </c>
      <c r="Y655" s="9">
        <f>IF(Table1[[#This Row],[taxable wages]]&gt;obamacare_surcharge_amount,obamacare_surcharge_percent*(Table1[[#This Row],[taxable wages]]-obamacare_surcharge_amount),0)</f>
        <v>531</v>
      </c>
      <c r="Z655" s="9">
        <f>Table1[[#This Row],[Federal Taxes Owed (Includes AMT)]]+Table1[[#This Row],[Obamacare surcharge premium]]</f>
        <v>70312</v>
      </c>
      <c r="AA655" s="9">
        <f>Table1[[#This Row],[taxable wages]]-Table1[[#This Row],[Federal Taxes Owed2]]</f>
        <v>238688</v>
      </c>
      <c r="AB655" s="51">
        <f t="shared" si="56"/>
        <v>0.35899999999999999</v>
      </c>
      <c r="AC655" s="41"/>
      <c r="AD655" s="13"/>
      <c r="AE655" s="13"/>
    </row>
    <row r="656" spans="2:31" x14ac:dyDescent="0.3">
      <c r="B656" s="41">
        <f t="shared" si="57"/>
        <v>309500</v>
      </c>
      <c r="C656" s="1">
        <f>Table1[[#This Row],[taxable wages]]</f>
        <v>309500</v>
      </c>
      <c r="D656" s="1">
        <f>Table1[[#This Row],[taxable wages]]+interest+dividends+short_term_capital_gains+long_term_capital_gains</f>
        <v>309500</v>
      </c>
      <c r="E656" s="1">
        <f>MAX(Table1[[#This Row],[earned income for EITC]:[Agi For Eitc Calc]])</f>
        <v>309500</v>
      </c>
      <c r="F656" s="1">
        <f>Table1[[#This Row],[taxable wages]]+interest+dividends+short_term_capital_gains+long_term_capital_gains-(trad_ira_contributions+MIN(student_loan_interest_cap,student_loan_interest))</f>
        <v>309500</v>
      </c>
      <c r="G656" s="1">
        <f t="shared" si="53"/>
        <v>12600</v>
      </c>
      <c r="H656" s="1">
        <f t="shared" si="54"/>
        <v>28350</v>
      </c>
      <c r="I656" s="1">
        <f>MAX(0,Table1[[#This Row],[Agi]]-Table1[[#This Row],[Exemptions]]-Table1[[#This Row],[Effective Deductions]])</f>
        <v>268550</v>
      </c>
      <c r="J65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64034.5</v>
      </c>
      <c r="K656" s="1">
        <f t="shared" si="55"/>
        <v>5000</v>
      </c>
      <c r="L656" s="1">
        <f>IF(Table1[[#This Row],[Agi]]&gt;ctc_phase_out_begins,ctc_phase_out_rate*(Table1[[#This Row],[Agi]]-ctc_phase_out_begins),0)</f>
        <v>9975</v>
      </c>
      <c r="M656" s="1">
        <f>MAX(Table1[[#This Row],[Child Tax Credit]]-Table1[[#This Row],[Child Tax Credit Phase Out]],0)</f>
        <v>0</v>
      </c>
      <c r="N656" s="1">
        <f>MAX(Table1[[#This Row],[Regular Taxes Owed]]-Table1[[#This Row],[Effective Child Tax Credit]],0)</f>
        <v>64034.5</v>
      </c>
      <c r="O656" s="1">
        <f>MAX(MIN((Table1[[#This Row],[taxable wages]]-3000)*0.15,1000*num_kids_16_younger),0)</f>
        <v>5000</v>
      </c>
      <c r="P656" s="9">
        <f>IF(Table1[[#This Row],[Effective Child Tax Credit]]&gt;Table1[[#This Row],[Regular Taxes Owed]],Table1[[#This Row],[Additional Child Tax Credit ]]-Table1[[#This Row],[Regular Taxes Owed]],0)</f>
        <v>0</v>
      </c>
      <c r="Q65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6" s="1">
        <f>Table1[[#This Row],[Effective Additional Child Tax Credit]]+Table1[[#This Row],[Eitc]]</f>
        <v>0</v>
      </c>
      <c r="S656" s="9">
        <f>Table1[[#This Row],[Regular Taxes Owed - Effective Child Tax Credit]]-Table1[[#This Row],[Total Credits]]</f>
        <v>64034.5</v>
      </c>
      <c r="T656" s="9">
        <f>Table1[[#This Row],[taxable wages]]+interest+dividends+short_term_capital_gains+long_term_capital_gains-(charitable_donations+mortgage_interest)</f>
        <v>309500</v>
      </c>
      <c r="U656" s="9">
        <f>MAX(amt_exemption-amt_exemption_phase_out_rate*MAX(Table1[[#This Row],[taxable wages]]-amt_phase_out_begins,0),0)</f>
        <v>46350</v>
      </c>
      <c r="V65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69956</v>
      </c>
      <c r="W656" s="1">
        <f>IF(AND(Table1[[#This Row],[AMT Taxes]]&gt;Table1[[#This Row],[Regular Taxes Owed]],Table1[[#This Row],[AMT Taxes]]&gt;0),Table1[[#This Row],[AMT Taxes]]-Table1[[#This Row],[Regular Taxes Owed]],0)</f>
        <v>5921.5</v>
      </c>
      <c r="X656" s="9">
        <f>Table1[[#This Row],[Extra Taxes From Amt]]+Table1[[#This Row],[Federal Taxes Owed (No AMT)]]</f>
        <v>69956</v>
      </c>
      <c r="Y656" s="9">
        <f>IF(Table1[[#This Row],[taxable wages]]&gt;obamacare_surcharge_amount,obamacare_surcharge_percent*(Table1[[#This Row],[taxable wages]]-obamacare_surcharge_amount),0)</f>
        <v>535.5</v>
      </c>
      <c r="Z656" s="9">
        <f>Table1[[#This Row],[Federal Taxes Owed (Includes AMT)]]+Table1[[#This Row],[Obamacare surcharge premium]]</f>
        <v>70491.5</v>
      </c>
      <c r="AA656" s="9">
        <f>Table1[[#This Row],[taxable wages]]-Table1[[#This Row],[Federal Taxes Owed2]]</f>
        <v>239008.5</v>
      </c>
      <c r="AB656" s="51">
        <f t="shared" si="56"/>
        <v>0.35899999999999999</v>
      </c>
      <c r="AC656" s="41"/>
      <c r="AD656" s="13"/>
      <c r="AE656" s="13"/>
    </row>
    <row r="657" spans="2:31" x14ac:dyDescent="0.3">
      <c r="B657" s="41">
        <f t="shared" si="57"/>
        <v>310000</v>
      </c>
      <c r="C657" s="1">
        <f>Table1[[#This Row],[taxable wages]]</f>
        <v>310000</v>
      </c>
      <c r="D657" s="1">
        <f>Table1[[#This Row],[taxable wages]]+interest+dividends+short_term_capital_gains+long_term_capital_gains</f>
        <v>310000</v>
      </c>
      <c r="E657" s="1">
        <f>MAX(Table1[[#This Row],[earned income for EITC]:[Agi For Eitc Calc]])</f>
        <v>310000</v>
      </c>
      <c r="F657" s="1">
        <f>Table1[[#This Row],[taxable wages]]+interest+dividends+short_term_capital_gains+long_term_capital_gains-(trad_ira_contributions+MIN(student_loan_interest_cap,student_loan_interest))</f>
        <v>310000</v>
      </c>
      <c r="G657" s="1">
        <f t="shared" si="53"/>
        <v>12600</v>
      </c>
      <c r="H657" s="1">
        <f t="shared" si="54"/>
        <v>28350</v>
      </c>
      <c r="I657" s="1">
        <f>MAX(0,Table1[[#This Row],[Agi]]-Table1[[#This Row],[Exemptions]]-Table1[[#This Row],[Effective Deductions]])</f>
        <v>269050</v>
      </c>
      <c r="J65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64199.5</v>
      </c>
      <c r="K657" s="1">
        <f t="shared" si="55"/>
        <v>5000</v>
      </c>
      <c r="L657" s="1">
        <f>IF(Table1[[#This Row],[Agi]]&gt;ctc_phase_out_begins,ctc_phase_out_rate*(Table1[[#This Row],[Agi]]-ctc_phase_out_begins),0)</f>
        <v>10000</v>
      </c>
      <c r="M657" s="1">
        <f>MAX(Table1[[#This Row],[Child Tax Credit]]-Table1[[#This Row],[Child Tax Credit Phase Out]],0)</f>
        <v>0</v>
      </c>
      <c r="N657" s="1">
        <f>MAX(Table1[[#This Row],[Regular Taxes Owed]]-Table1[[#This Row],[Effective Child Tax Credit]],0)</f>
        <v>64199.5</v>
      </c>
      <c r="O657" s="1">
        <f>MAX(MIN((Table1[[#This Row],[taxable wages]]-3000)*0.15,1000*num_kids_16_younger),0)</f>
        <v>5000</v>
      </c>
      <c r="P657" s="9">
        <f>IF(Table1[[#This Row],[Effective Child Tax Credit]]&gt;Table1[[#This Row],[Regular Taxes Owed]],Table1[[#This Row],[Additional Child Tax Credit ]]-Table1[[#This Row],[Regular Taxes Owed]],0)</f>
        <v>0</v>
      </c>
      <c r="Q65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7" s="1">
        <f>Table1[[#This Row],[Effective Additional Child Tax Credit]]+Table1[[#This Row],[Eitc]]</f>
        <v>0</v>
      </c>
      <c r="S657" s="9">
        <f>Table1[[#This Row],[Regular Taxes Owed - Effective Child Tax Credit]]-Table1[[#This Row],[Total Credits]]</f>
        <v>64199.5</v>
      </c>
      <c r="T657" s="9">
        <f>Table1[[#This Row],[taxable wages]]+interest+dividends+short_term_capital_gains+long_term_capital_gains-(charitable_donations+mortgage_interest)</f>
        <v>310000</v>
      </c>
      <c r="U657" s="9">
        <f>MAX(amt_exemption-amt_exemption_phase_out_rate*MAX(Table1[[#This Row],[taxable wages]]-amt_phase_out_begins,0),0)</f>
        <v>46225</v>
      </c>
      <c r="V65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70131</v>
      </c>
      <c r="W657" s="1">
        <f>IF(AND(Table1[[#This Row],[AMT Taxes]]&gt;Table1[[#This Row],[Regular Taxes Owed]],Table1[[#This Row],[AMT Taxes]]&gt;0),Table1[[#This Row],[AMT Taxes]]-Table1[[#This Row],[Regular Taxes Owed]],0)</f>
        <v>5931.5</v>
      </c>
      <c r="X657" s="9">
        <f>Table1[[#This Row],[Extra Taxes From Amt]]+Table1[[#This Row],[Federal Taxes Owed (No AMT)]]</f>
        <v>70131</v>
      </c>
      <c r="Y657" s="9">
        <f>IF(Table1[[#This Row],[taxable wages]]&gt;obamacare_surcharge_amount,obamacare_surcharge_percent*(Table1[[#This Row],[taxable wages]]-obamacare_surcharge_amount),0)</f>
        <v>540</v>
      </c>
      <c r="Z657" s="9">
        <f>Table1[[#This Row],[Federal Taxes Owed (Includes AMT)]]+Table1[[#This Row],[Obamacare surcharge premium]]</f>
        <v>70671</v>
      </c>
      <c r="AA657" s="9">
        <f>Table1[[#This Row],[taxable wages]]-Table1[[#This Row],[Federal Taxes Owed2]]</f>
        <v>239329</v>
      </c>
      <c r="AB657" s="51">
        <f t="shared" si="56"/>
        <v>0.35899999999999999</v>
      </c>
      <c r="AC657" s="41"/>
      <c r="AD657" s="13"/>
      <c r="AE657" s="13"/>
    </row>
    <row r="658" spans="2:31" x14ac:dyDescent="0.3">
      <c r="B658" s="41">
        <f t="shared" si="57"/>
        <v>310500</v>
      </c>
      <c r="C658" s="1">
        <f>Table1[[#This Row],[taxable wages]]</f>
        <v>310500</v>
      </c>
      <c r="D658" s="1">
        <f>Table1[[#This Row],[taxable wages]]+interest+dividends+short_term_capital_gains+long_term_capital_gains</f>
        <v>310500</v>
      </c>
      <c r="E658" s="1">
        <f>MAX(Table1[[#This Row],[earned income for EITC]:[Agi For Eitc Calc]])</f>
        <v>310500</v>
      </c>
      <c r="F658" s="1">
        <f>Table1[[#This Row],[taxable wages]]+interest+dividends+short_term_capital_gains+long_term_capital_gains-(trad_ira_contributions+MIN(student_loan_interest_cap,student_loan_interest))</f>
        <v>310500</v>
      </c>
      <c r="G658" s="1">
        <f t="shared" si="53"/>
        <v>12600</v>
      </c>
      <c r="H658" s="1">
        <f t="shared" si="54"/>
        <v>28350</v>
      </c>
      <c r="I658" s="1">
        <f>MAX(0,Table1[[#This Row],[Agi]]-Table1[[#This Row],[Exemptions]]-Table1[[#This Row],[Effective Deductions]])</f>
        <v>269550</v>
      </c>
      <c r="J65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64364.5</v>
      </c>
      <c r="K658" s="1">
        <f t="shared" si="55"/>
        <v>5000</v>
      </c>
      <c r="L658" s="1">
        <f>IF(Table1[[#This Row],[Agi]]&gt;ctc_phase_out_begins,ctc_phase_out_rate*(Table1[[#This Row],[Agi]]-ctc_phase_out_begins),0)</f>
        <v>10025</v>
      </c>
      <c r="M658" s="1">
        <f>MAX(Table1[[#This Row],[Child Tax Credit]]-Table1[[#This Row],[Child Tax Credit Phase Out]],0)</f>
        <v>0</v>
      </c>
      <c r="N658" s="1">
        <f>MAX(Table1[[#This Row],[Regular Taxes Owed]]-Table1[[#This Row],[Effective Child Tax Credit]],0)</f>
        <v>64364.5</v>
      </c>
      <c r="O658" s="1">
        <f>MAX(MIN((Table1[[#This Row],[taxable wages]]-3000)*0.15,1000*num_kids_16_younger),0)</f>
        <v>5000</v>
      </c>
      <c r="P658" s="9">
        <f>IF(Table1[[#This Row],[Effective Child Tax Credit]]&gt;Table1[[#This Row],[Regular Taxes Owed]],Table1[[#This Row],[Additional Child Tax Credit ]]-Table1[[#This Row],[Regular Taxes Owed]],0)</f>
        <v>0</v>
      </c>
      <c r="Q65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8" s="1">
        <f>Table1[[#This Row],[Effective Additional Child Tax Credit]]+Table1[[#This Row],[Eitc]]</f>
        <v>0</v>
      </c>
      <c r="S658" s="9">
        <f>Table1[[#This Row],[Regular Taxes Owed - Effective Child Tax Credit]]-Table1[[#This Row],[Total Credits]]</f>
        <v>64364.5</v>
      </c>
      <c r="T658" s="9">
        <f>Table1[[#This Row],[taxable wages]]+interest+dividends+short_term_capital_gains+long_term_capital_gains-(charitable_donations+mortgage_interest)</f>
        <v>310500</v>
      </c>
      <c r="U658" s="9">
        <f>MAX(amt_exemption-amt_exemption_phase_out_rate*MAX(Table1[[#This Row],[taxable wages]]-amt_phase_out_begins,0),0)</f>
        <v>46100</v>
      </c>
      <c r="V65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70306</v>
      </c>
      <c r="W658" s="1">
        <f>IF(AND(Table1[[#This Row],[AMT Taxes]]&gt;Table1[[#This Row],[Regular Taxes Owed]],Table1[[#This Row],[AMT Taxes]]&gt;0),Table1[[#This Row],[AMT Taxes]]-Table1[[#This Row],[Regular Taxes Owed]],0)</f>
        <v>5941.5</v>
      </c>
      <c r="X658" s="9">
        <f>Table1[[#This Row],[Extra Taxes From Amt]]+Table1[[#This Row],[Federal Taxes Owed (No AMT)]]</f>
        <v>70306</v>
      </c>
      <c r="Y658" s="9">
        <f>IF(Table1[[#This Row],[taxable wages]]&gt;obamacare_surcharge_amount,obamacare_surcharge_percent*(Table1[[#This Row],[taxable wages]]-obamacare_surcharge_amount),0)</f>
        <v>544.5</v>
      </c>
      <c r="Z658" s="9">
        <f>Table1[[#This Row],[Federal Taxes Owed (Includes AMT)]]+Table1[[#This Row],[Obamacare surcharge premium]]</f>
        <v>70850.5</v>
      </c>
      <c r="AA658" s="9">
        <f>Table1[[#This Row],[taxable wages]]-Table1[[#This Row],[Federal Taxes Owed2]]</f>
        <v>239649.5</v>
      </c>
      <c r="AB658" s="51">
        <f t="shared" si="56"/>
        <v>0.35899999999999999</v>
      </c>
      <c r="AC658" s="41"/>
      <c r="AD658" s="13"/>
      <c r="AE658" s="13"/>
    </row>
    <row r="659" spans="2:31" x14ac:dyDescent="0.3">
      <c r="B659" s="41">
        <f t="shared" si="57"/>
        <v>311000</v>
      </c>
      <c r="C659" s="1">
        <f>Table1[[#This Row],[taxable wages]]</f>
        <v>311000</v>
      </c>
      <c r="D659" s="1">
        <f>Table1[[#This Row],[taxable wages]]+interest+dividends+short_term_capital_gains+long_term_capital_gains</f>
        <v>311000</v>
      </c>
      <c r="E659" s="1">
        <f>MAX(Table1[[#This Row],[earned income for EITC]:[Agi For Eitc Calc]])</f>
        <v>311000</v>
      </c>
      <c r="F659" s="1">
        <f>Table1[[#This Row],[taxable wages]]+interest+dividends+short_term_capital_gains+long_term_capital_gains-(trad_ira_contributions+MIN(student_loan_interest_cap,student_loan_interest))</f>
        <v>311000</v>
      </c>
      <c r="G659" s="1">
        <f t="shared" si="53"/>
        <v>12600</v>
      </c>
      <c r="H659" s="1">
        <f t="shared" si="54"/>
        <v>28350</v>
      </c>
      <c r="I659" s="1">
        <f>MAX(0,Table1[[#This Row],[Agi]]-Table1[[#This Row],[Exemptions]]-Table1[[#This Row],[Effective Deductions]])</f>
        <v>270050</v>
      </c>
      <c r="J65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64529.5</v>
      </c>
      <c r="K659" s="1">
        <f t="shared" si="55"/>
        <v>5000</v>
      </c>
      <c r="L659" s="1">
        <f>IF(Table1[[#This Row],[Agi]]&gt;ctc_phase_out_begins,ctc_phase_out_rate*(Table1[[#This Row],[Agi]]-ctc_phase_out_begins),0)</f>
        <v>10050</v>
      </c>
      <c r="M659" s="1">
        <f>MAX(Table1[[#This Row],[Child Tax Credit]]-Table1[[#This Row],[Child Tax Credit Phase Out]],0)</f>
        <v>0</v>
      </c>
      <c r="N659" s="1">
        <f>MAX(Table1[[#This Row],[Regular Taxes Owed]]-Table1[[#This Row],[Effective Child Tax Credit]],0)</f>
        <v>64529.5</v>
      </c>
      <c r="O659" s="1">
        <f>MAX(MIN((Table1[[#This Row],[taxable wages]]-3000)*0.15,1000*num_kids_16_younger),0)</f>
        <v>5000</v>
      </c>
      <c r="P659" s="9">
        <f>IF(Table1[[#This Row],[Effective Child Tax Credit]]&gt;Table1[[#This Row],[Regular Taxes Owed]],Table1[[#This Row],[Additional Child Tax Credit ]]-Table1[[#This Row],[Regular Taxes Owed]],0)</f>
        <v>0</v>
      </c>
      <c r="Q65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59" s="1">
        <f>Table1[[#This Row],[Effective Additional Child Tax Credit]]+Table1[[#This Row],[Eitc]]</f>
        <v>0</v>
      </c>
      <c r="S659" s="9">
        <f>Table1[[#This Row],[Regular Taxes Owed - Effective Child Tax Credit]]-Table1[[#This Row],[Total Credits]]</f>
        <v>64529.5</v>
      </c>
      <c r="T659" s="9">
        <f>Table1[[#This Row],[taxable wages]]+interest+dividends+short_term_capital_gains+long_term_capital_gains-(charitable_donations+mortgage_interest)</f>
        <v>311000</v>
      </c>
      <c r="U659" s="9">
        <f>MAX(amt_exemption-amt_exemption_phase_out_rate*MAX(Table1[[#This Row],[taxable wages]]-amt_phase_out_begins,0),0)</f>
        <v>45975</v>
      </c>
      <c r="V65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70481</v>
      </c>
      <c r="W659" s="1">
        <f>IF(AND(Table1[[#This Row],[AMT Taxes]]&gt;Table1[[#This Row],[Regular Taxes Owed]],Table1[[#This Row],[AMT Taxes]]&gt;0),Table1[[#This Row],[AMT Taxes]]-Table1[[#This Row],[Regular Taxes Owed]],0)</f>
        <v>5951.5</v>
      </c>
      <c r="X659" s="9">
        <f>Table1[[#This Row],[Extra Taxes From Amt]]+Table1[[#This Row],[Federal Taxes Owed (No AMT)]]</f>
        <v>70481</v>
      </c>
      <c r="Y659" s="9">
        <f>IF(Table1[[#This Row],[taxable wages]]&gt;obamacare_surcharge_amount,obamacare_surcharge_percent*(Table1[[#This Row],[taxable wages]]-obamacare_surcharge_amount),0)</f>
        <v>549</v>
      </c>
      <c r="Z659" s="9">
        <f>Table1[[#This Row],[Federal Taxes Owed (Includes AMT)]]+Table1[[#This Row],[Obamacare surcharge premium]]</f>
        <v>71030</v>
      </c>
      <c r="AA659" s="9">
        <f>Table1[[#This Row],[taxable wages]]-Table1[[#This Row],[Federal Taxes Owed2]]</f>
        <v>239970</v>
      </c>
      <c r="AB659" s="51">
        <f t="shared" si="56"/>
        <v>0.35899999999999999</v>
      </c>
      <c r="AC659" s="41"/>
      <c r="AD659" s="13"/>
      <c r="AE659" s="13"/>
    </row>
    <row r="660" spans="2:31" x14ac:dyDescent="0.3">
      <c r="B660" s="41">
        <f t="shared" si="57"/>
        <v>311500</v>
      </c>
      <c r="C660" s="1">
        <f>Table1[[#This Row],[taxable wages]]</f>
        <v>311500</v>
      </c>
      <c r="D660" s="1">
        <f>Table1[[#This Row],[taxable wages]]+interest+dividends+short_term_capital_gains+long_term_capital_gains</f>
        <v>311500</v>
      </c>
      <c r="E660" s="1">
        <f>MAX(Table1[[#This Row],[earned income for EITC]:[Agi For Eitc Calc]])</f>
        <v>311500</v>
      </c>
      <c r="F660" s="1">
        <f>Table1[[#This Row],[taxable wages]]+interest+dividends+short_term_capital_gains+long_term_capital_gains-(trad_ira_contributions+MIN(student_loan_interest_cap,student_loan_interest))</f>
        <v>311500</v>
      </c>
      <c r="G660" s="1">
        <f t="shared" si="53"/>
        <v>12600</v>
      </c>
      <c r="H660" s="1">
        <f t="shared" si="54"/>
        <v>28350</v>
      </c>
      <c r="I660" s="1">
        <f>MAX(0,Table1[[#This Row],[Agi]]-Table1[[#This Row],[Exemptions]]-Table1[[#This Row],[Effective Deductions]])</f>
        <v>270550</v>
      </c>
      <c r="J66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64694.5</v>
      </c>
      <c r="K660" s="1">
        <f t="shared" si="55"/>
        <v>5000</v>
      </c>
      <c r="L660" s="1">
        <f>IF(Table1[[#This Row],[Agi]]&gt;ctc_phase_out_begins,ctc_phase_out_rate*(Table1[[#This Row],[Agi]]-ctc_phase_out_begins),0)</f>
        <v>10075</v>
      </c>
      <c r="M660" s="1">
        <f>MAX(Table1[[#This Row],[Child Tax Credit]]-Table1[[#This Row],[Child Tax Credit Phase Out]],0)</f>
        <v>0</v>
      </c>
      <c r="N660" s="1">
        <f>MAX(Table1[[#This Row],[Regular Taxes Owed]]-Table1[[#This Row],[Effective Child Tax Credit]],0)</f>
        <v>64694.5</v>
      </c>
      <c r="O660" s="1">
        <f>MAX(MIN((Table1[[#This Row],[taxable wages]]-3000)*0.15,1000*num_kids_16_younger),0)</f>
        <v>5000</v>
      </c>
      <c r="P660" s="9">
        <f>IF(Table1[[#This Row],[Effective Child Tax Credit]]&gt;Table1[[#This Row],[Regular Taxes Owed]],Table1[[#This Row],[Additional Child Tax Credit ]]-Table1[[#This Row],[Regular Taxes Owed]],0)</f>
        <v>0</v>
      </c>
      <c r="Q66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0" s="1">
        <f>Table1[[#This Row],[Effective Additional Child Tax Credit]]+Table1[[#This Row],[Eitc]]</f>
        <v>0</v>
      </c>
      <c r="S660" s="9">
        <f>Table1[[#This Row],[Regular Taxes Owed - Effective Child Tax Credit]]-Table1[[#This Row],[Total Credits]]</f>
        <v>64694.5</v>
      </c>
      <c r="T660" s="9">
        <f>Table1[[#This Row],[taxable wages]]+interest+dividends+short_term_capital_gains+long_term_capital_gains-(charitable_donations+mortgage_interest)</f>
        <v>311500</v>
      </c>
      <c r="U660" s="9">
        <f>MAX(amt_exemption-amt_exemption_phase_out_rate*MAX(Table1[[#This Row],[taxable wages]]-amt_phase_out_begins,0),0)</f>
        <v>45850</v>
      </c>
      <c r="V66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70656</v>
      </c>
      <c r="W660" s="1">
        <f>IF(AND(Table1[[#This Row],[AMT Taxes]]&gt;Table1[[#This Row],[Regular Taxes Owed]],Table1[[#This Row],[AMT Taxes]]&gt;0),Table1[[#This Row],[AMT Taxes]]-Table1[[#This Row],[Regular Taxes Owed]],0)</f>
        <v>5961.5</v>
      </c>
      <c r="X660" s="9">
        <f>Table1[[#This Row],[Extra Taxes From Amt]]+Table1[[#This Row],[Federal Taxes Owed (No AMT)]]</f>
        <v>70656</v>
      </c>
      <c r="Y660" s="9">
        <f>IF(Table1[[#This Row],[taxable wages]]&gt;obamacare_surcharge_amount,obamacare_surcharge_percent*(Table1[[#This Row],[taxable wages]]-obamacare_surcharge_amount),0)</f>
        <v>553.5</v>
      </c>
      <c r="Z660" s="9">
        <f>Table1[[#This Row],[Federal Taxes Owed (Includes AMT)]]+Table1[[#This Row],[Obamacare surcharge premium]]</f>
        <v>71209.5</v>
      </c>
      <c r="AA660" s="9">
        <f>Table1[[#This Row],[taxable wages]]-Table1[[#This Row],[Federal Taxes Owed2]]</f>
        <v>240290.5</v>
      </c>
      <c r="AB660" s="51">
        <f t="shared" si="56"/>
        <v>0.35899999999999999</v>
      </c>
      <c r="AC660" s="41"/>
      <c r="AD660" s="13"/>
      <c r="AE660" s="13"/>
    </row>
    <row r="661" spans="2:31" x14ac:dyDescent="0.3">
      <c r="B661" s="41">
        <f t="shared" si="57"/>
        <v>312000</v>
      </c>
      <c r="C661" s="1">
        <f>Table1[[#This Row],[taxable wages]]</f>
        <v>312000</v>
      </c>
      <c r="D661" s="1">
        <f>Table1[[#This Row],[taxable wages]]+interest+dividends+short_term_capital_gains+long_term_capital_gains</f>
        <v>312000</v>
      </c>
      <c r="E661" s="1">
        <f>MAX(Table1[[#This Row],[earned income for EITC]:[Agi For Eitc Calc]])</f>
        <v>312000</v>
      </c>
      <c r="F661" s="1">
        <f>Table1[[#This Row],[taxable wages]]+interest+dividends+short_term_capital_gains+long_term_capital_gains-(trad_ira_contributions+MIN(student_loan_interest_cap,student_loan_interest))</f>
        <v>312000</v>
      </c>
      <c r="G661" s="1">
        <f t="shared" si="53"/>
        <v>12600</v>
      </c>
      <c r="H661" s="1">
        <f t="shared" si="54"/>
        <v>28350</v>
      </c>
      <c r="I661" s="1">
        <f>MAX(0,Table1[[#This Row],[Agi]]-Table1[[#This Row],[Exemptions]]-Table1[[#This Row],[Effective Deductions]])</f>
        <v>271050</v>
      </c>
      <c r="J66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64859.5</v>
      </c>
      <c r="K661" s="1">
        <f t="shared" si="55"/>
        <v>5000</v>
      </c>
      <c r="L661" s="1">
        <f>IF(Table1[[#This Row],[Agi]]&gt;ctc_phase_out_begins,ctc_phase_out_rate*(Table1[[#This Row],[Agi]]-ctc_phase_out_begins),0)</f>
        <v>10100</v>
      </c>
      <c r="M661" s="1">
        <f>MAX(Table1[[#This Row],[Child Tax Credit]]-Table1[[#This Row],[Child Tax Credit Phase Out]],0)</f>
        <v>0</v>
      </c>
      <c r="N661" s="1">
        <f>MAX(Table1[[#This Row],[Regular Taxes Owed]]-Table1[[#This Row],[Effective Child Tax Credit]],0)</f>
        <v>64859.5</v>
      </c>
      <c r="O661" s="1">
        <f>MAX(MIN((Table1[[#This Row],[taxable wages]]-3000)*0.15,1000*num_kids_16_younger),0)</f>
        <v>5000</v>
      </c>
      <c r="P661" s="9">
        <f>IF(Table1[[#This Row],[Effective Child Tax Credit]]&gt;Table1[[#This Row],[Regular Taxes Owed]],Table1[[#This Row],[Additional Child Tax Credit ]]-Table1[[#This Row],[Regular Taxes Owed]],0)</f>
        <v>0</v>
      </c>
      <c r="Q66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1" s="1">
        <f>Table1[[#This Row],[Effective Additional Child Tax Credit]]+Table1[[#This Row],[Eitc]]</f>
        <v>0</v>
      </c>
      <c r="S661" s="9">
        <f>Table1[[#This Row],[Regular Taxes Owed - Effective Child Tax Credit]]-Table1[[#This Row],[Total Credits]]</f>
        <v>64859.5</v>
      </c>
      <c r="T661" s="9">
        <f>Table1[[#This Row],[taxable wages]]+interest+dividends+short_term_capital_gains+long_term_capital_gains-(charitable_donations+mortgage_interest)</f>
        <v>312000</v>
      </c>
      <c r="U661" s="9">
        <f>MAX(amt_exemption-amt_exemption_phase_out_rate*MAX(Table1[[#This Row],[taxable wages]]-amt_phase_out_begins,0),0)</f>
        <v>45725</v>
      </c>
      <c r="V66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70831</v>
      </c>
      <c r="W661" s="1">
        <f>IF(AND(Table1[[#This Row],[AMT Taxes]]&gt;Table1[[#This Row],[Regular Taxes Owed]],Table1[[#This Row],[AMT Taxes]]&gt;0),Table1[[#This Row],[AMT Taxes]]-Table1[[#This Row],[Regular Taxes Owed]],0)</f>
        <v>5971.5</v>
      </c>
      <c r="X661" s="9">
        <f>Table1[[#This Row],[Extra Taxes From Amt]]+Table1[[#This Row],[Federal Taxes Owed (No AMT)]]</f>
        <v>70831</v>
      </c>
      <c r="Y661" s="9">
        <f>IF(Table1[[#This Row],[taxable wages]]&gt;obamacare_surcharge_amount,obamacare_surcharge_percent*(Table1[[#This Row],[taxable wages]]-obamacare_surcharge_amount),0)</f>
        <v>558</v>
      </c>
      <c r="Z661" s="9">
        <f>Table1[[#This Row],[Federal Taxes Owed (Includes AMT)]]+Table1[[#This Row],[Obamacare surcharge premium]]</f>
        <v>71389</v>
      </c>
      <c r="AA661" s="9">
        <f>Table1[[#This Row],[taxable wages]]-Table1[[#This Row],[Federal Taxes Owed2]]</f>
        <v>240611</v>
      </c>
      <c r="AB661" s="51">
        <f t="shared" si="56"/>
        <v>0.35899999999999999</v>
      </c>
      <c r="AC661" s="41"/>
      <c r="AD661" s="13"/>
      <c r="AE661" s="13"/>
    </row>
    <row r="662" spans="2:31" x14ac:dyDescent="0.3">
      <c r="B662" s="41">
        <f t="shared" si="57"/>
        <v>312500</v>
      </c>
      <c r="C662" s="1">
        <f>Table1[[#This Row],[taxable wages]]</f>
        <v>312500</v>
      </c>
      <c r="D662" s="1">
        <f>Table1[[#This Row],[taxable wages]]+interest+dividends+short_term_capital_gains+long_term_capital_gains</f>
        <v>312500</v>
      </c>
      <c r="E662" s="1">
        <f>MAX(Table1[[#This Row],[earned income for EITC]:[Agi For Eitc Calc]])</f>
        <v>312500</v>
      </c>
      <c r="F662" s="1">
        <f>Table1[[#This Row],[taxable wages]]+interest+dividends+short_term_capital_gains+long_term_capital_gains-(trad_ira_contributions+MIN(student_loan_interest_cap,student_loan_interest))</f>
        <v>312500</v>
      </c>
      <c r="G662" s="1">
        <f t="shared" si="53"/>
        <v>12600</v>
      </c>
      <c r="H662" s="1">
        <f t="shared" si="54"/>
        <v>28350</v>
      </c>
      <c r="I662" s="1">
        <f>MAX(0,Table1[[#This Row],[Agi]]-Table1[[#This Row],[Exemptions]]-Table1[[#This Row],[Effective Deductions]])</f>
        <v>271550</v>
      </c>
      <c r="J66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65024.5</v>
      </c>
      <c r="K662" s="1">
        <f t="shared" si="55"/>
        <v>5000</v>
      </c>
      <c r="L662" s="1">
        <f>IF(Table1[[#This Row],[Agi]]&gt;ctc_phase_out_begins,ctc_phase_out_rate*(Table1[[#This Row],[Agi]]-ctc_phase_out_begins),0)</f>
        <v>10125</v>
      </c>
      <c r="M662" s="1">
        <f>MAX(Table1[[#This Row],[Child Tax Credit]]-Table1[[#This Row],[Child Tax Credit Phase Out]],0)</f>
        <v>0</v>
      </c>
      <c r="N662" s="1">
        <f>MAX(Table1[[#This Row],[Regular Taxes Owed]]-Table1[[#This Row],[Effective Child Tax Credit]],0)</f>
        <v>65024.5</v>
      </c>
      <c r="O662" s="1">
        <f>MAX(MIN((Table1[[#This Row],[taxable wages]]-3000)*0.15,1000*num_kids_16_younger),0)</f>
        <v>5000</v>
      </c>
      <c r="P662" s="9">
        <f>IF(Table1[[#This Row],[Effective Child Tax Credit]]&gt;Table1[[#This Row],[Regular Taxes Owed]],Table1[[#This Row],[Additional Child Tax Credit ]]-Table1[[#This Row],[Regular Taxes Owed]],0)</f>
        <v>0</v>
      </c>
      <c r="Q66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2" s="1">
        <f>Table1[[#This Row],[Effective Additional Child Tax Credit]]+Table1[[#This Row],[Eitc]]</f>
        <v>0</v>
      </c>
      <c r="S662" s="9">
        <f>Table1[[#This Row],[Regular Taxes Owed - Effective Child Tax Credit]]-Table1[[#This Row],[Total Credits]]</f>
        <v>65024.5</v>
      </c>
      <c r="T662" s="9">
        <f>Table1[[#This Row],[taxable wages]]+interest+dividends+short_term_capital_gains+long_term_capital_gains-(charitable_donations+mortgage_interest)</f>
        <v>312500</v>
      </c>
      <c r="U662" s="9">
        <f>MAX(amt_exemption-amt_exemption_phase_out_rate*MAX(Table1[[#This Row],[taxable wages]]-amt_phase_out_begins,0),0)</f>
        <v>45600</v>
      </c>
      <c r="V66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71006</v>
      </c>
      <c r="W662" s="1">
        <f>IF(AND(Table1[[#This Row],[AMT Taxes]]&gt;Table1[[#This Row],[Regular Taxes Owed]],Table1[[#This Row],[AMT Taxes]]&gt;0),Table1[[#This Row],[AMT Taxes]]-Table1[[#This Row],[Regular Taxes Owed]],0)</f>
        <v>5981.5</v>
      </c>
      <c r="X662" s="9">
        <f>Table1[[#This Row],[Extra Taxes From Amt]]+Table1[[#This Row],[Federal Taxes Owed (No AMT)]]</f>
        <v>71006</v>
      </c>
      <c r="Y662" s="9">
        <f>IF(Table1[[#This Row],[taxable wages]]&gt;obamacare_surcharge_amount,obamacare_surcharge_percent*(Table1[[#This Row],[taxable wages]]-obamacare_surcharge_amount),0)</f>
        <v>562.5</v>
      </c>
      <c r="Z662" s="9">
        <f>Table1[[#This Row],[Federal Taxes Owed (Includes AMT)]]+Table1[[#This Row],[Obamacare surcharge premium]]</f>
        <v>71568.5</v>
      </c>
      <c r="AA662" s="9">
        <f>Table1[[#This Row],[taxable wages]]-Table1[[#This Row],[Federal Taxes Owed2]]</f>
        <v>240931.5</v>
      </c>
      <c r="AB662" s="51">
        <f t="shared" si="56"/>
        <v>0.35899999999999999</v>
      </c>
      <c r="AC662" s="41"/>
      <c r="AD662" s="13"/>
      <c r="AE662" s="13"/>
    </row>
    <row r="663" spans="2:31" x14ac:dyDescent="0.3">
      <c r="B663" s="41">
        <f t="shared" si="57"/>
        <v>313000</v>
      </c>
      <c r="C663" s="1">
        <f>Table1[[#This Row],[taxable wages]]</f>
        <v>313000</v>
      </c>
      <c r="D663" s="1">
        <f>Table1[[#This Row],[taxable wages]]+interest+dividends+short_term_capital_gains+long_term_capital_gains</f>
        <v>313000</v>
      </c>
      <c r="E663" s="1">
        <f>MAX(Table1[[#This Row],[earned income for EITC]:[Agi For Eitc Calc]])</f>
        <v>313000</v>
      </c>
      <c r="F663" s="1">
        <f>Table1[[#This Row],[taxable wages]]+interest+dividends+short_term_capital_gains+long_term_capital_gains-(trad_ira_contributions+MIN(student_loan_interest_cap,student_loan_interest))</f>
        <v>313000</v>
      </c>
      <c r="G663" s="1">
        <f t="shared" si="53"/>
        <v>12600</v>
      </c>
      <c r="H663" s="1">
        <f t="shared" si="54"/>
        <v>28350</v>
      </c>
      <c r="I663" s="1">
        <f>MAX(0,Table1[[#This Row],[Agi]]-Table1[[#This Row],[Exemptions]]-Table1[[#This Row],[Effective Deductions]])</f>
        <v>272050</v>
      </c>
      <c r="J66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65189.5</v>
      </c>
      <c r="K663" s="1">
        <f t="shared" si="55"/>
        <v>5000</v>
      </c>
      <c r="L663" s="1">
        <f>IF(Table1[[#This Row],[Agi]]&gt;ctc_phase_out_begins,ctc_phase_out_rate*(Table1[[#This Row],[Agi]]-ctc_phase_out_begins),0)</f>
        <v>10150</v>
      </c>
      <c r="M663" s="1">
        <f>MAX(Table1[[#This Row],[Child Tax Credit]]-Table1[[#This Row],[Child Tax Credit Phase Out]],0)</f>
        <v>0</v>
      </c>
      <c r="N663" s="1">
        <f>MAX(Table1[[#This Row],[Regular Taxes Owed]]-Table1[[#This Row],[Effective Child Tax Credit]],0)</f>
        <v>65189.5</v>
      </c>
      <c r="O663" s="1">
        <f>MAX(MIN((Table1[[#This Row],[taxable wages]]-3000)*0.15,1000*num_kids_16_younger),0)</f>
        <v>5000</v>
      </c>
      <c r="P663" s="9">
        <f>IF(Table1[[#This Row],[Effective Child Tax Credit]]&gt;Table1[[#This Row],[Regular Taxes Owed]],Table1[[#This Row],[Additional Child Tax Credit ]]-Table1[[#This Row],[Regular Taxes Owed]],0)</f>
        <v>0</v>
      </c>
      <c r="Q66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3" s="1">
        <f>Table1[[#This Row],[Effective Additional Child Tax Credit]]+Table1[[#This Row],[Eitc]]</f>
        <v>0</v>
      </c>
      <c r="S663" s="9">
        <f>Table1[[#This Row],[Regular Taxes Owed - Effective Child Tax Credit]]-Table1[[#This Row],[Total Credits]]</f>
        <v>65189.5</v>
      </c>
      <c r="T663" s="9">
        <f>Table1[[#This Row],[taxable wages]]+interest+dividends+short_term_capital_gains+long_term_capital_gains-(charitable_donations+mortgage_interest)</f>
        <v>313000</v>
      </c>
      <c r="U663" s="9">
        <f>MAX(amt_exemption-amt_exemption_phase_out_rate*MAX(Table1[[#This Row],[taxable wages]]-amt_phase_out_begins,0),0)</f>
        <v>45475</v>
      </c>
      <c r="V66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71181</v>
      </c>
      <c r="W663" s="1">
        <f>IF(AND(Table1[[#This Row],[AMT Taxes]]&gt;Table1[[#This Row],[Regular Taxes Owed]],Table1[[#This Row],[AMT Taxes]]&gt;0),Table1[[#This Row],[AMT Taxes]]-Table1[[#This Row],[Regular Taxes Owed]],0)</f>
        <v>5991.5</v>
      </c>
      <c r="X663" s="9">
        <f>Table1[[#This Row],[Extra Taxes From Amt]]+Table1[[#This Row],[Federal Taxes Owed (No AMT)]]</f>
        <v>71181</v>
      </c>
      <c r="Y663" s="9">
        <f>IF(Table1[[#This Row],[taxable wages]]&gt;obamacare_surcharge_amount,obamacare_surcharge_percent*(Table1[[#This Row],[taxable wages]]-obamacare_surcharge_amount),0)</f>
        <v>567</v>
      </c>
      <c r="Z663" s="9">
        <f>Table1[[#This Row],[Federal Taxes Owed (Includes AMT)]]+Table1[[#This Row],[Obamacare surcharge premium]]</f>
        <v>71748</v>
      </c>
      <c r="AA663" s="9">
        <f>Table1[[#This Row],[taxable wages]]-Table1[[#This Row],[Federal Taxes Owed2]]</f>
        <v>241252</v>
      </c>
      <c r="AB663" s="51">
        <f t="shared" si="56"/>
        <v>0.35899999999999999</v>
      </c>
      <c r="AC663" s="41"/>
      <c r="AD663" s="13"/>
      <c r="AE663" s="13"/>
    </row>
    <row r="664" spans="2:31" x14ac:dyDescent="0.3">
      <c r="B664" s="41">
        <f t="shared" si="57"/>
        <v>313500</v>
      </c>
      <c r="C664" s="1">
        <f>Table1[[#This Row],[taxable wages]]</f>
        <v>313500</v>
      </c>
      <c r="D664" s="1">
        <f>Table1[[#This Row],[taxable wages]]+interest+dividends+short_term_capital_gains+long_term_capital_gains</f>
        <v>313500</v>
      </c>
      <c r="E664" s="1">
        <f>MAX(Table1[[#This Row],[earned income for EITC]:[Agi For Eitc Calc]])</f>
        <v>313500</v>
      </c>
      <c r="F664" s="1">
        <f>Table1[[#This Row],[taxable wages]]+interest+dividends+short_term_capital_gains+long_term_capital_gains-(trad_ira_contributions+MIN(student_loan_interest_cap,student_loan_interest))</f>
        <v>313500</v>
      </c>
      <c r="G664" s="1">
        <f t="shared" si="53"/>
        <v>12600</v>
      </c>
      <c r="H664" s="1">
        <f t="shared" si="54"/>
        <v>28350</v>
      </c>
      <c r="I664" s="1">
        <f>MAX(0,Table1[[#This Row],[Agi]]-Table1[[#This Row],[Exemptions]]-Table1[[#This Row],[Effective Deductions]])</f>
        <v>272550</v>
      </c>
      <c r="J66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65354.5</v>
      </c>
      <c r="K664" s="1">
        <f t="shared" si="55"/>
        <v>5000</v>
      </c>
      <c r="L664" s="1">
        <f>IF(Table1[[#This Row],[Agi]]&gt;ctc_phase_out_begins,ctc_phase_out_rate*(Table1[[#This Row],[Agi]]-ctc_phase_out_begins),0)</f>
        <v>10175</v>
      </c>
      <c r="M664" s="1">
        <f>MAX(Table1[[#This Row],[Child Tax Credit]]-Table1[[#This Row],[Child Tax Credit Phase Out]],0)</f>
        <v>0</v>
      </c>
      <c r="N664" s="1">
        <f>MAX(Table1[[#This Row],[Regular Taxes Owed]]-Table1[[#This Row],[Effective Child Tax Credit]],0)</f>
        <v>65354.5</v>
      </c>
      <c r="O664" s="1">
        <f>MAX(MIN((Table1[[#This Row],[taxable wages]]-3000)*0.15,1000*num_kids_16_younger),0)</f>
        <v>5000</v>
      </c>
      <c r="P664" s="9">
        <f>IF(Table1[[#This Row],[Effective Child Tax Credit]]&gt;Table1[[#This Row],[Regular Taxes Owed]],Table1[[#This Row],[Additional Child Tax Credit ]]-Table1[[#This Row],[Regular Taxes Owed]],0)</f>
        <v>0</v>
      </c>
      <c r="Q66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4" s="1">
        <f>Table1[[#This Row],[Effective Additional Child Tax Credit]]+Table1[[#This Row],[Eitc]]</f>
        <v>0</v>
      </c>
      <c r="S664" s="9">
        <f>Table1[[#This Row],[Regular Taxes Owed - Effective Child Tax Credit]]-Table1[[#This Row],[Total Credits]]</f>
        <v>65354.5</v>
      </c>
      <c r="T664" s="9">
        <f>Table1[[#This Row],[taxable wages]]+interest+dividends+short_term_capital_gains+long_term_capital_gains-(charitable_donations+mortgage_interest)</f>
        <v>313500</v>
      </c>
      <c r="U664" s="9">
        <f>MAX(amt_exemption-amt_exemption_phase_out_rate*MAX(Table1[[#This Row],[taxable wages]]-amt_phase_out_begins,0),0)</f>
        <v>45350</v>
      </c>
      <c r="V66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71356</v>
      </c>
      <c r="W664" s="1">
        <f>IF(AND(Table1[[#This Row],[AMT Taxes]]&gt;Table1[[#This Row],[Regular Taxes Owed]],Table1[[#This Row],[AMT Taxes]]&gt;0),Table1[[#This Row],[AMT Taxes]]-Table1[[#This Row],[Regular Taxes Owed]],0)</f>
        <v>6001.5</v>
      </c>
      <c r="X664" s="9">
        <f>Table1[[#This Row],[Extra Taxes From Amt]]+Table1[[#This Row],[Federal Taxes Owed (No AMT)]]</f>
        <v>71356</v>
      </c>
      <c r="Y664" s="9">
        <f>IF(Table1[[#This Row],[taxable wages]]&gt;obamacare_surcharge_amount,obamacare_surcharge_percent*(Table1[[#This Row],[taxable wages]]-obamacare_surcharge_amount),0)</f>
        <v>571.5</v>
      </c>
      <c r="Z664" s="9">
        <f>Table1[[#This Row],[Federal Taxes Owed (Includes AMT)]]+Table1[[#This Row],[Obamacare surcharge premium]]</f>
        <v>71927.5</v>
      </c>
      <c r="AA664" s="9">
        <f>Table1[[#This Row],[taxable wages]]-Table1[[#This Row],[Federal Taxes Owed2]]</f>
        <v>241572.5</v>
      </c>
      <c r="AB664" s="51">
        <f t="shared" si="56"/>
        <v>0.35899999999999999</v>
      </c>
      <c r="AC664" s="41"/>
      <c r="AD664" s="13"/>
      <c r="AE664" s="13"/>
    </row>
    <row r="665" spans="2:31" x14ac:dyDescent="0.3">
      <c r="B665" s="41">
        <f t="shared" si="57"/>
        <v>314000</v>
      </c>
      <c r="C665" s="1">
        <f>Table1[[#This Row],[taxable wages]]</f>
        <v>314000</v>
      </c>
      <c r="D665" s="1">
        <f>Table1[[#This Row],[taxable wages]]+interest+dividends+short_term_capital_gains+long_term_capital_gains</f>
        <v>314000</v>
      </c>
      <c r="E665" s="1">
        <f>MAX(Table1[[#This Row],[earned income for EITC]:[Agi For Eitc Calc]])</f>
        <v>314000</v>
      </c>
      <c r="F665" s="1">
        <f>Table1[[#This Row],[taxable wages]]+interest+dividends+short_term_capital_gains+long_term_capital_gains-(trad_ira_contributions+MIN(student_loan_interest_cap,student_loan_interest))</f>
        <v>314000</v>
      </c>
      <c r="G665" s="1">
        <f t="shared" si="53"/>
        <v>12600</v>
      </c>
      <c r="H665" s="1">
        <f t="shared" si="54"/>
        <v>28350</v>
      </c>
      <c r="I665" s="1">
        <f>MAX(0,Table1[[#This Row],[Agi]]-Table1[[#This Row],[Exemptions]]-Table1[[#This Row],[Effective Deductions]])</f>
        <v>273050</v>
      </c>
      <c r="J66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65519.5</v>
      </c>
      <c r="K665" s="1">
        <f t="shared" si="55"/>
        <v>5000</v>
      </c>
      <c r="L665" s="1">
        <f>IF(Table1[[#This Row],[Agi]]&gt;ctc_phase_out_begins,ctc_phase_out_rate*(Table1[[#This Row],[Agi]]-ctc_phase_out_begins),0)</f>
        <v>10200</v>
      </c>
      <c r="M665" s="1">
        <f>MAX(Table1[[#This Row],[Child Tax Credit]]-Table1[[#This Row],[Child Tax Credit Phase Out]],0)</f>
        <v>0</v>
      </c>
      <c r="N665" s="1">
        <f>MAX(Table1[[#This Row],[Regular Taxes Owed]]-Table1[[#This Row],[Effective Child Tax Credit]],0)</f>
        <v>65519.5</v>
      </c>
      <c r="O665" s="1">
        <f>MAX(MIN((Table1[[#This Row],[taxable wages]]-3000)*0.15,1000*num_kids_16_younger),0)</f>
        <v>5000</v>
      </c>
      <c r="P665" s="9">
        <f>IF(Table1[[#This Row],[Effective Child Tax Credit]]&gt;Table1[[#This Row],[Regular Taxes Owed]],Table1[[#This Row],[Additional Child Tax Credit ]]-Table1[[#This Row],[Regular Taxes Owed]],0)</f>
        <v>0</v>
      </c>
      <c r="Q66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5" s="1">
        <f>Table1[[#This Row],[Effective Additional Child Tax Credit]]+Table1[[#This Row],[Eitc]]</f>
        <v>0</v>
      </c>
      <c r="S665" s="9">
        <f>Table1[[#This Row],[Regular Taxes Owed - Effective Child Tax Credit]]-Table1[[#This Row],[Total Credits]]</f>
        <v>65519.5</v>
      </c>
      <c r="T665" s="9">
        <f>Table1[[#This Row],[taxable wages]]+interest+dividends+short_term_capital_gains+long_term_capital_gains-(charitable_donations+mortgage_interest)</f>
        <v>314000</v>
      </c>
      <c r="U665" s="9">
        <f>MAX(amt_exemption-amt_exemption_phase_out_rate*MAX(Table1[[#This Row],[taxable wages]]-amt_phase_out_begins,0),0)</f>
        <v>45225</v>
      </c>
      <c r="V66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71531</v>
      </c>
      <c r="W665" s="1">
        <f>IF(AND(Table1[[#This Row],[AMT Taxes]]&gt;Table1[[#This Row],[Regular Taxes Owed]],Table1[[#This Row],[AMT Taxes]]&gt;0),Table1[[#This Row],[AMT Taxes]]-Table1[[#This Row],[Regular Taxes Owed]],0)</f>
        <v>6011.5</v>
      </c>
      <c r="X665" s="9">
        <f>Table1[[#This Row],[Extra Taxes From Amt]]+Table1[[#This Row],[Federal Taxes Owed (No AMT)]]</f>
        <v>71531</v>
      </c>
      <c r="Y665" s="9">
        <f>IF(Table1[[#This Row],[taxable wages]]&gt;obamacare_surcharge_amount,obamacare_surcharge_percent*(Table1[[#This Row],[taxable wages]]-obamacare_surcharge_amount),0)</f>
        <v>576</v>
      </c>
      <c r="Z665" s="9">
        <f>Table1[[#This Row],[Federal Taxes Owed (Includes AMT)]]+Table1[[#This Row],[Obamacare surcharge premium]]</f>
        <v>72107</v>
      </c>
      <c r="AA665" s="9">
        <f>Table1[[#This Row],[taxable wages]]-Table1[[#This Row],[Federal Taxes Owed2]]</f>
        <v>241893</v>
      </c>
      <c r="AB665" s="51">
        <f t="shared" si="56"/>
        <v>0.35899999999999999</v>
      </c>
      <c r="AC665" s="41"/>
      <c r="AD665" s="13"/>
      <c r="AE665" s="13"/>
    </row>
    <row r="666" spans="2:31" x14ac:dyDescent="0.3">
      <c r="B666" s="41">
        <f t="shared" si="57"/>
        <v>314500</v>
      </c>
      <c r="C666" s="1">
        <f>Table1[[#This Row],[taxable wages]]</f>
        <v>314500</v>
      </c>
      <c r="D666" s="1">
        <f>Table1[[#This Row],[taxable wages]]+interest+dividends+short_term_capital_gains+long_term_capital_gains</f>
        <v>314500</v>
      </c>
      <c r="E666" s="1">
        <f>MAX(Table1[[#This Row],[earned income for EITC]:[Agi For Eitc Calc]])</f>
        <v>314500</v>
      </c>
      <c r="F666" s="1">
        <f>Table1[[#This Row],[taxable wages]]+interest+dividends+short_term_capital_gains+long_term_capital_gains-(trad_ira_contributions+MIN(student_loan_interest_cap,student_loan_interest))</f>
        <v>314500</v>
      </c>
      <c r="G666" s="1">
        <f t="shared" si="53"/>
        <v>12600</v>
      </c>
      <c r="H666" s="1">
        <f t="shared" si="54"/>
        <v>28350</v>
      </c>
      <c r="I666" s="1">
        <f>MAX(0,Table1[[#This Row],[Agi]]-Table1[[#This Row],[Exemptions]]-Table1[[#This Row],[Effective Deductions]])</f>
        <v>273550</v>
      </c>
      <c r="J66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65684.5</v>
      </c>
      <c r="K666" s="1">
        <f t="shared" si="55"/>
        <v>5000</v>
      </c>
      <c r="L666" s="1">
        <f>IF(Table1[[#This Row],[Agi]]&gt;ctc_phase_out_begins,ctc_phase_out_rate*(Table1[[#This Row],[Agi]]-ctc_phase_out_begins),0)</f>
        <v>10225</v>
      </c>
      <c r="M666" s="1">
        <f>MAX(Table1[[#This Row],[Child Tax Credit]]-Table1[[#This Row],[Child Tax Credit Phase Out]],0)</f>
        <v>0</v>
      </c>
      <c r="N666" s="1">
        <f>MAX(Table1[[#This Row],[Regular Taxes Owed]]-Table1[[#This Row],[Effective Child Tax Credit]],0)</f>
        <v>65684.5</v>
      </c>
      <c r="O666" s="1">
        <f>MAX(MIN((Table1[[#This Row],[taxable wages]]-3000)*0.15,1000*num_kids_16_younger),0)</f>
        <v>5000</v>
      </c>
      <c r="P666" s="9">
        <f>IF(Table1[[#This Row],[Effective Child Tax Credit]]&gt;Table1[[#This Row],[Regular Taxes Owed]],Table1[[#This Row],[Additional Child Tax Credit ]]-Table1[[#This Row],[Regular Taxes Owed]],0)</f>
        <v>0</v>
      </c>
      <c r="Q66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6" s="1">
        <f>Table1[[#This Row],[Effective Additional Child Tax Credit]]+Table1[[#This Row],[Eitc]]</f>
        <v>0</v>
      </c>
      <c r="S666" s="9">
        <f>Table1[[#This Row],[Regular Taxes Owed - Effective Child Tax Credit]]-Table1[[#This Row],[Total Credits]]</f>
        <v>65684.5</v>
      </c>
      <c r="T666" s="9">
        <f>Table1[[#This Row],[taxable wages]]+interest+dividends+short_term_capital_gains+long_term_capital_gains-(charitable_donations+mortgage_interest)</f>
        <v>314500</v>
      </c>
      <c r="U666" s="9">
        <f>MAX(amt_exemption-amt_exemption_phase_out_rate*MAX(Table1[[#This Row],[taxable wages]]-amt_phase_out_begins,0),0)</f>
        <v>45100</v>
      </c>
      <c r="V66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71706</v>
      </c>
      <c r="W666" s="1">
        <f>IF(AND(Table1[[#This Row],[AMT Taxes]]&gt;Table1[[#This Row],[Regular Taxes Owed]],Table1[[#This Row],[AMT Taxes]]&gt;0),Table1[[#This Row],[AMT Taxes]]-Table1[[#This Row],[Regular Taxes Owed]],0)</f>
        <v>6021.5</v>
      </c>
      <c r="X666" s="9">
        <f>Table1[[#This Row],[Extra Taxes From Amt]]+Table1[[#This Row],[Federal Taxes Owed (No AMT)]]</f>
        <v>71706</v>
      </c>
      <c r="Y666" s="9">
        <f>IF(Table1[[#This Row],[taxable wages]]&gt;obamacare_surcharge_amount,obamacare_surcharge_percent*(Table1[[#This Row],[taxable wages]]-obamacare_surcharge_amount),0)</f>
        <v>580.5</v>
      </c>
      <c r="Z666" s="9">
        <f>Table1[[#This Row],[Federal Taxes Owed (Includes AMT)]]+Table1[[#This Row],[Obamacare surcharge premium]]</f>
        <v>72286.5</v>
      </c>
      <c r="AA666" s="9">
        <f>Table1[[#This Row],[taxable wages]]-Table1[[#This Row],[Federal Taxes Owed2]]</f>
        <v>242213.5</v>
      </c>
      <c r="AB666" s="51">
        <f t="shared" si="56"/>
        <v>0.35899999999999999</v>
      </c>
      <c r="AC666" s="41"/>
      <c r="AD666" s="13"/>
      <c r="AE666" s="13"/>
    </row>
    <row r="667" spans="2:31" x14ac:dyDescent="0.3">
      <c r="B667" s="41">
        <f t="shared" si="57"/>
        <v>315000</v>
      </c>
      <c r="C667" s="1">
        <f>Table1[[#This Row],[taxable wages]]</f>
        <v>315000</v>
      </c>
      <c r="D667" s="1">
        <f>Table1[[#This Row],[taxable wages]]+interest+dividends+short_term_capital_gains+long_term_capital_gains</f>
        <v>315000</v>
      </c>
      <c r="E667" s="1">
        <f>MAX(Table1[[#This Row],[earned income for EITC]:[Agi For Eitc Calc]])</f>
        <v>315000</v>
      </c>
      <c r="F667" s="1">
        <f>Table1[[#This Row],[taxable wages]]+interest+dividends+short_term_capital_gains+long_term_capital_gains-(trad_ira_contributions+MIN(student_loan_interest_cap,student_loan_interest))</f>
        <v>315000</v>
      </c>
      <c r="G667" s="1">
        <f t="shared" si="53"/>
        <v>12600</v>
      </c>
      <c r="H667" s="1">
        <f t="shared" si="54"/>
        <v>28350</v>
      </c>
      <c r="I667" s="1">
        <f>MAX(0,Table1[[#This Row],[Agi]]-Table1[[#This Row],[Exemptions]]-Table1[[#This Row],[Effective Deductions]])</f>
        <v>274050</v>
      </c>
      <c r="J66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65849.5</v>
      </c>
      <c r="K667" s="1">
        <f t="shared" si="55"/>
        <v>5000</v>
      </c>
      <c r="L667" s="1">
        <f>IF(Table1[[#This Row],[Agi]]&gt;ctc_phase_out_begins,ctc_phase_out_rate*(Table1[[#This Row],[Agi]]-ctc_phase_out_begins),0)</f>
        <v>10250</v>
      </c>
      <c r="M667" s="1">
        <f>MAX(Table1[[#This Row],[Child Tax Credit]]-Table1[[#This Row],[Child Tax Credit Phase Out]],0)</f>
        <v>0</v>
      </c>
      <c r="N667" s="1">
        <f>MAX(Table1[[#This Row],[Regular Taxes Owed]]-Table1[[#This Row],[Effective Child Tax Credit]],0)</f>
        <v>65849.5</v>
      </c>
      <c r="O667" s="1">
        <f>MAX(MIN((Table1[[#This Row],[taxable wages]]-3000)*0.15,1000*num_kids_16_younger),0)</f>
        <v>5000</v>
      </c>
      <c r="P667" s="9">
        <f>IF(Table1[[#This Row],[Effective Child Tax Credit]]&gt;Table1[[#This Row],[Regular Taxes Owed]],Table1[[#This Row],[Additional Child Tax Credit ]]-Table1[[#This Row],[Regular Taxes Owed]],0)</f>
        <v>0</v>
      </c>
      <c r="Q66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7" s="1">
        <f>Table1[[#This Row],[Effective Additional Child Tax Credit]]+Table1[[#This Row],[Eitc]]</f>
        <v>0</v>
      </c>
      <c r="S667" s="9">
        <f>Table1[[#This Row],[Regular Taxes Owed - Effective Child Tax Credit]]-Table1[[#This Row],[Total Credits]]</f>
        <v>65849.5</v>
      </c>
      <c r="T667" s="9">
        <f>Table1[[#This Row],[taxable wages]]+interest+dividends+short_term_capital_gains+long_term_capital_gains-(charitable_donations+mortgage_interest)</f>
        <v>315000</v>
      </c>
      <c r="U667" s="9">
        <f>MAX(amt_exemption-amt_exemption_phase_out_rate*MAX(Table1[[#This Row],[taxable wages]]-amt_phase_out_begins,0),0)</f>
        <v>44975</v>
      </c>
      <c r="V66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71881</v>
      </c>
      <c r="W667" s="1">
        <f>IF(AND(Table1[[#This Row],[AMT Taxes]]&gt;Table1[[#This Row],[Regular Taxes Owed]],Table1[[#This Row],[AMT Taxes]]&gt;0),Table1[[#This Row],[AMT Taxes]]-Table1[[#This Row],[Regular Taxes Owed]],0)</f>
        <v>6031.5</v>
      </c>
      <c r="X667" s="9">
        <f>Table1[[#This Row],[Extra Taxes From Amt]]+Table1[[#This Row],[Federal Taxes Owed (No AMT)]]</f>
        <v>71881</v>
      </c>
      <c r="Y667" s="9">
        <f>IF(Table1[[#This Row],[taxable wages]]&gt;obamacare_surcharge_amount,obamacare_surcharge_percent*(Table1[[#This Row],[taxable wages]]-obamacare_surcharge_amount),0)</f>
        <v>585</v>
      </c>
      <c r="Z667" s="9">
        <f>Table1[[#This Row],[Federal Taxes Owed (Includes AMT)]]+Table1[[#This Row],[Obamacare surcharge premium]]</f>
        <v>72466</v>
      </c>
      <c r="AA667" s="9">
        <f>Table1[[#This Row],[taxable wages]]-Table1[[#This Row],[Federal Taxes Owed2]]</f>
        <v>242534</v>
      </c>
      <c r="AB667" s="51">
        <f t="shared" si="56"/>
        <v>0.35899999999999999</v>
      </c>
      <c r="AC667" s="41"/>
      <c r="AD667" s="13"/>
      <c r="AE667" s="13"/>
    </row>
    <row r="668" spans="2:31" x14ac:dyDescent="0.3">
      <c r="B668" s="41">
        <f t="shared" si="57"/>
        <v>315500</v>
      </c>
      <c r="C668" s="1">
        <f>Table1[[#This Row],[taxable wages]]</f>
        <v>315500</v>
      </c>
      <c r="D668" s="1">
        <f>Table1[[#This Row],[taxable wages]]+interest+dividends+short_term_capital_gains+long_term_capital_gains</f>
        <v>315500</v>
      </c>
      <c r="E668" s="1">
        <f>MAX(Table1[[#This Row],[earned income for EITC]:[Agi For Eitc Calc]])</f>
        <v>315500</v>
      </c>
      <c r="F668" s="1">
        <f>Table1[[#This Row],[taxable wages]]+interest+dividends+short_term_capital_gains+long_term_capital_gains-(trad_ira_contributions+MIN(student_loan_interest_cap,student_loan_interest))</f>
        <v>315500</v>
      </c>
      <c r="G668" s="1">
        <f t="shared" si="53"/>
        <v>12600</v>
      </c>
      <c r="H668" s="1">
        <f t="shared" si="54"/>
        <v>28350</v>
      </c>
      <c r="I668" s="1">
        <f>MAX(0,Table1[[#This Row],[Agi]]-Table1[[#This Row],[Exemptions]]-Table1[[#This Row],[Effective Deductions]])</f>
        <v>274550</v>
      </c>
      <c r="J66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66014.5</v>
      </c>
      <c r="K668" s="1">
        <f t="shared" si="55"/>
        <v>5000</v>
      </c>
      <c r="L668" s="1">
        <f>IF(Table1[[#This Row],[Agi]]&gt;ctc_phase_out_begins,ctc_phase_out_rate*(Table1[[#This Row],[Agi]]-ctc_phase_out_begins),0)</f>
        <v>10275</v>
      </c>
      <c r="M668" s="1">
        <f>MAX(Table1[[#This Row],[Child Tax Credit]]-Table1[[#This Row],[Child Tax Credit Phase Out]],0)</f>
        <v>0</v>
      </c>
      <c r="N668" s="1">
        <f>MAX(Table1[[#This Row],[Regular Taxes Owed]]-Table1[[#This Row],[Effective Child Tax Credit]],0)</f>
        <v>66014.5</v>
      </c>
      <c r="O668" s="1">
        <f>MAX(MIN((Table1[[#This Row],[taxable wages]]-3000)*0.15,1000*num_kids_16_younger),0)</f>
        <v>5000</v>
      </c>
      <c r="P668" s="9">
        <f>IF(Table1[[#This Row],[Effective Child Tax Credit]]&gt;Table1[[#This Row],[Regular Taxes Owed]],Table1[[#This Row],[Additional Child Tax Credit ]]-Table1[[#This Row],[Regular Taxes Owed]],0)</f>
        <v>0</v>
      </c>
      <c r="Q66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8" s="1">
        <f>Table1[[#This Row],[Effective Additional Child Tax Credit]]+Table1[[#This Row],[Eitc]]</f>
        <v>0</v>
      </c>
      <c r="S668" s="9">
        <f>Table1[[#This Row],[Regular Taxes Owed - Effective Child Tax Credit]]-Table1[[#This Row],[Total Credits]]</f>
        <v>66014.5</v>
      </c>
      <c r="T668" s="9">
        <f>Table1[[#This Row],[taxable wages]]+interest+dividends+short_term_capital_gains+long_term_capital_gains-(charitable_donations+mortgage_interest)</f>
        <v>315500</v>
      </c>
      <c r="U668" s="9">
        <f>MAX(amt_exemption-amt_exemption_phase_out_rate*MAX(Table1[[#This Row],[taxable wages]]-amt_phase_out_begins,0),0)</f>
        <v>44850</v>
      </c>
      <c r="V66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72056</v>
      </c>
      <c r="W668" s="1">
        <f>IF(AND(Table1[[#This Row],[AMT Taxes]]&gt;Table1[[#This Row],[Regular Taxes Owed]],Table1[[#This Row],[AMT Taxes]]&gt;0),Table1[[#This Row],[AMT Taxes]]-Table1[[#This Row],[Regular Taxes Owed]],0)</f>
        <v>6041.5</v>
      </c>
      <c r="X668" s="9">
        <f>Table1[[#This Row],[Extra Taxes From Amt]]+Table1[[#This Row],[Federal Taxes Owed (No AMT)]]</f>
        <v>72056</v>
      </c>
      <c r="Y668" s="9">
        <f>IF(Table1[[#This Row],[taxable wages]]&gt;obamacare_surcharge_amount,obamacare_surcharge_percent*(Table1[[#This Row],[taxable wages]]-obamacare_surcharge_amount),0)</f>
        <v>589.5</v>
      </c>
      <c r="Z668" s="9">
        <f>Table1[[#This Row],[Federal Taxes Owed (Includes AMT)]]+Table1[[#This Row],[Obamacare surcharge premium]]</f>
        <v>72645.5</v>
      </c>
      <c r="AA668" s="9">
        <f>Table1[[#This Row],[taxable wages]]-Table1[[#This Row],[Federal Taxes Owed2]]</f>
        <v>242854.5</v>
      </c>
      <c r="AB668" s="51">
        <f t="shared" si="56"/>
        <v>0.35899999999999999</v>
      </c>
      <c r="AC668" s="41"/>
      <c r="AD668" s="13"/>
      <c r="AE668" s="13"/>
    </row>
    <row r="669" spans="2:31" x14ac:dyDescent="0.3">
      <c r="B669" s="41">
        <f t="shared" si="57"/>
        <v>316000</v>
      </c>
      <c r="C669" s="1">
        <f>Table1[[#This Row],[taxable wages]]</f>
        <v>316000</v>
      </c>
      <c r="D669" s="1">
        <f>Table1[[#This Row],[taxable wages]]+interest+dividends+short_term_capital_gains+long_term_capital_gains</f>
        <v>316000</v>
      </c>
      <c r="E669" s="1">
        <f>MAX(Table1[[#This Row],[earned income for EITC]:[Agi For Eitc Calc]])</f>
        <v>316000</v>
      </c>
      <c r="F669" s="1">
        <f>Table1[[#This Row],[taxable wages]]+interest+dividends+short_term_capital_gains+long_term_capital_gains-(trad_ira_contributions+MIN(student_loan_interest_cap,student_loan_interest))</f>
        <v>316000</v>
      </c>
      <c r="G669" s="1">
        <f t="shared" si="53"/>
        <v>12600</v>
      </c>
      <c r="H669" s="1">
        <f t="shared" si="54"/>
        <v>28350</v>
      </c>
      <c r="I669" s="1">
        <f>MAX(0,Table1[[#This Row],[Agi]]-Table1[[#This Row],[Exemptions]]-Table1[[#This Row],[Effective Deductions]])</f>
        <v>275050</v>
      </c>
      <c r="J66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66179.5</v>
      </c>
      <c r="K669" s="1">
        <f t="shared" si="55"/>
        <v>5000</v>
      </c>
      <c r="L669" s="1">
        <f>IF(Table1[[#This Row],[Agi]]&gt;ctc_phase_out_begins,ctc_phase_out_rate*(Table1[[#This Row],[Agi]]-ctc_phase_out_begins),0)</f>
        <v>10300</v>
      </c>
      <c r="M669" s="1">
        <f>MAX(Table1[[#This Row],[Child Tax Credit]]-Table1[[#This Row],[Child Tax Credit Phase Out]],0)</f>
        <v>0</v>
      </c>
      <c r="N669" s="1">
        <f>MAX(Table1[[#This Row],[Regular Taxes Owed]]-Table1[[#This Row],[Effective Child Tax Credit]],0)</f>
        <v>66179.5</v>
      </c>
      <c r="O669" s="1">
        <f>MAX(MIN((Table1[[#This Row],[taxable wages]]-3000)*0.15,1000*num_kids_16_younger),0)</f>
        <v>5000</v>
      </c>
      <c r="P669" s="9">
        <f>IF(Table1[[#This Row],[Effective Child Tax Credit]]&gt;Table1[[#This Row],[Regular Taxes Owed]],Table1[[#This Row],[Additional Child Tax Credit ]]-Table1[[#This Row],[Regular Taxes Owed]],0)</f>
        <v>0</v>
      </c>
      <c r="Q66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69" s="1">
        <f>Table1[[#This Row],[Effective Additional Child Tax Credit]]+Table1[[#This Row],[Eitc]]</f>
        <v>0</v>
      </c>
      <c r="S669" s="9">
        <f>Table1[[#This Row],[Regular Taxes Owed - Effective Child Tax Credit]]-Table1[[#This Row],[Total Credits]]</f>
        <v>66179.5</v>
      </c>
      <c r="T669" s="9">
        <f>Table1[[#This Row],[taxable wages]]+interest+dividends+short_term_capital_gains+long_term_capital_gains-(charitable_donations+mortgage_interest)</f>
        <v>316000</v>
      </c>
      <c r="U669" s="9">
        <f>MAX(amt_exemption-amt_exemption_phase_out_rate*MAX(Table1[[#This Row],[taxable wages]]-amt_phase_out_begins,0),0)</f>
        <v>44725</v>
      </c>
      <c r="V66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72231</v>
      </c>
      <c r="W669" s="1">
        <f>IF(AND(Table1[[#This Row],[AMT Taxes]]&gt;Table1[[#This Row],[Regular Taxes Owed]],Table1[[#This Row],[AMT Taxes]]&gt;0),Table1[[#This Row],[AMT Taxes]]-Table1[[#This Row],[Regular Taxes Owed]],0)</f>
        <v>6051.5</v>
      </c>
      <c r="X669" s="9">
        <f>Table1[[#This Row],[Extra Taxes From Amt]]+Table1[[#This Row],[Federal Taxes Owed (No AMT)]]</f>
        <v>72231</v>
      </c>
      <c r="Y669" s="9">
        <f>IF(Table1[[#This Row],[taxable wages]]&gt;obamacare_surcharge_amount,obamacare_surcharge_percent*(Table1[[#This Row],[taxable wages]]-obamacare_surcharge_amount),0)</f>
        <v>594</v>
      </c>
      <c r="Z669" s="9">
        <f>Table1[[#This Row],[Federal Taxes Owed (Includes AMT)]]+Table1[[#This Row],[Obamacare surcharge premium]]</f>
        <v>72825</v>
      </c>
      <c r="AA669" s="9">
        <f>Table1[[#This Row],[taxable wages]]-Table1[[#This Row],[Federal Taxes Owed2]]</f>
        <v>243175</v>
      </c>
      <c r="AB669" s="51">
        <f t="shared" si="56"/>
        <v>0.35899999999999999</v>
      </c>
      <c r="AC669" s="41"/>
      <c r="AD669" s="13"/>
      <c r="AE669" s="13"/>
    </row>
    <row r="670" spans="2:31" x14ac:dyDescent="0.3">
      <c r="B670" s="41">
        <f t="shared" si="57"/>
        <v>316500</v>
      </c>
      <c r="C670" s="1">
        <f>Table1[[#This Row],[taxable wages]]</f>
        <v>316500</v>
      </c>
      <c r="D670" s="1">
        <f>Table1[[#This Row],[taxable wages]]+interest+dividends+short_term_capital_gains+long_term_capital_gains</f>
        <v>316500</v>
      </c>
      <c r="E670" s="1">
        <f>MAX(Table1[[#This Row],[earned income for EITC]:[Agi For Eitc Calc]])</f>
        <v>316500</v>
      </c>
      <c r="F670" s="1">
        <f>Table1[[#This Row],[taxable wages]]+interest+dividends+short_term_capital_gains+long_term_capital_gains-(trad_ira_contributions+MIN(student_loan_interest_cap,student_loan_interest))</f>
        <v>316500</v>
      </c>
      <c r="G670" s="1">
        <f t="shared" si="53"/>
        <v>12600</v>
      </c>
      <c r="H670" s="1">
        <f t="shared" si="54"/>
        <v>28350</v>
      </c>
      <c r="I670" s="1">
        <f>MAX(0,Table1[[#This Row],[Agi]]-Table1[[#This Row],[Exemptions]]-Table1[[#This Row],[Effective Deductions]])</f>
        <v>275550</v>
      </c>
      <c r="J67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66344.5</v>
      </c>
      <c r="K670" s="1">
        <f t="shared" si="55"/>
        <v>5000</v>
      </c>
      <c r="L670" s="1">
        <f>IF(Table1[[#This Row],[Agi]]&gt;ctc_phase_out_begins,ctc_phase_out_rate*(Table1[[#This Row],[Agi]]-ctc_phase_out_begins),0)</f>
        <v>10325</v>
      </c>
      <c r="M670" s="1">
        <f>MAX(Table1[[#This Row],[Child Tax Credit]]-Table1[[#This Row],[Child Tax Credit Phase Out]],0)</f>
        <v>0</v>
      </c>
      <c r="N670" s="1">
        <f>MAX(Table1[[#This Row],[Regular Taxes Owed]]-Table1[[#This Row],[Effective Child Tax Credit]],0)</f>
        <v>66344.5</v>
      </c>
      <c r="O670" s="1">
        <f>MAX(MIN((Table1[[#This Row],[taxable wages]]-3000)*0.15,1000*num_kids_16_younger),0)</f>
        <v>5000</v>
      </c>
      <c r="P670" s="9">
        <f>IF(Table1[[#This Row],[Effective Child Tax Credit]]&gt;Table1[[#This Row],[Regular Taxes Owed]],Table1[[#This Row],[Additional Child Tax Credit ]]-Table1[[#This Row],[Regular Taxes Owed]],0)</f>
        <v>0</v>
      </c>
      <c r="Q67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0" s="1">
        <f>Table1[[#This Row],[Effective Additional Child Tax Credit]]+Table1[[#This Row],[Eitc]]</f>
        <v>0</v>
      </c>
      <c r="S670" s="9">
        <f>Table1[[#This Row],[Regular Taxes Owed - Effective Child Tax Credit]]-Table1[[#This Row],[Total Credits]]</f>
        <v>66344.5</v>
      </c>
      <c r="T670" s="9">
        <f>Table1[[#This Row],[taxable wages]]+interest+dividends+short_term_capital_gains+long_term_capital_gains-(charitable_donations+mortgage_interest)</f>
        <v>316500</v>
      </c>
      <c r="U670" s="9">
        <f>MAX(amt_exemption-amt_exemption_phase_out_rate*MAX(Table1[[#This Row],[taxable wages]]-amt_phase_out_begins,0),0)</f>
        <v>44600</v>
      </c>
      <c r="V67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72406</v>
      </c>
      <c r="W670" s="1">
        <f>IF(AND(Table1[[#This Row],[AMT Taxes]]&gt;Table1[[#This Row],[Regular Taxes Owed]],Table1[[#This Row],[AMT Taxes]]&gt;0),Table1[[#This Row],[AMT Taxes]]-Table1[[#This Row],[Regular Taxes Owed]],0)</f>
        <v>6061.5</v>
      </c>
      <c r="X670" s="9">
        <f>Table1[[#This Row],[Extra Taxes From Amt]]+Table1[[#This Row],[Federal Taxes Owed (No AMT)]]</f>
        <v>72406</v>
      </c>
      <c r="Y670" s="9">
        <f>IF(Table1[[#This Row],[taxable wages]]&gt;obamacare_surcharge_amount,obamacare_surcharge_percent*(Table1[[#This Row],[taxable wages]]-obamacare_surcharge_amount),0)</f>
        <v>598.5</v>
      </c>
      <c r="Z670" s="9">
        <f>Table1[[#This Row],[Federal Taxes Owed (Includes AMT)]]+Table1[[#This Row],[Obamacare surcharge premium]]</f>
        <v>73004.5</v>
      </c>
      <c r="AA670" s="9">
        <f>Table1[[#This Row],[taxable wages]]-Table1[[#This Row],[Federal Taxes Owed2]]</f>
        <v>243495.5</v>
      </c>
      <c r="AB670" s="51">
        <f t="shared" si="56"/>
        <v>0.35899999999999999</v>
      </c>
      <c r="AC670" s="41"/>
      <c r="AD670" s="13"/>
      <c r="AE670" s="13"/>
    </row>
    <row r="671" spans="2:31" x14ac:dyDescent="0.3">
      <c r="B671" s="41">
        <f t="shared" si="57"/>
        <v>317000</v>
      </c>
      <c r="C671" s="1">
        <f>Table1[[#This Row],[taxable wages]]</f>
        <v>317000</v>
      </c>
      <c r="D671" s="1">
        <f>Table1[[#This Row],[taxable wages]]+interest+dividends+short_term_capital_gains+long_term_capital_gains</f>
        <v>317000</v>
      </c>
      <c r="E671" s="1">
        <f>MAX(Table1[[#This Row],[earned income for EITC]:[Agi For Eitc Calc]])</f>
        <v>317000</v>
      </c>
      <c r="F671" s="1">
        <f>Table1[[#This Row],[taxable wages]]+interest+dividends+short_term_capital_gains+long_term_capital_gains-(trad_ira_contributions+MIN(student_loan_interest_cap,student_loan_interest))</f>
        <v>317000</v>
      </c>
      <c r="G671" s="1">
        <f t="shared" si="53"/>
        <v>12600</v>
      </c>
      <c r="H671" s="1">
        <f t="shared" si="54"/>
        <v>28350</v>
      </c>
      <c r="I671" s="1">
        <f>MAX(0,Table1[[#This Row],[Agi]]-Table1[[#This Row],[Exemptions]]-Table1[[#This Row],[Effective Deductions]])</f>
        <v>276050</v>
      </c>
      <c r="J67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66509.5</v>
      </c>
      <c r="K671" s="1">
        <f t="shared" si="55"/>
        <v>5000</v>
      </c>
      <c r="L671" s="1">
        <f>IF(Table1[[#This Row],[Agi]]&gt;ctc_phase_out_begins,ctc_phase_out_rate*(Table1[[#This Row],[Agi]]-ctc_phase_out_begins),0)</f>
        <v>10350</v>
      </c>
      <c r="M671" s="1">
        <f>MAX(Table1[[#This Row],[Child Tax Credit]]-Table1[[#This Row],[Child Tax Credit Phase Out]],0)</f>
        <v>0</v>
      </c>
      <c r="N671" s="1">
        <f>MAX(Table1[[#This Row],[Regular Taxes Owed]]-Table1[[#This Row],[Effective Child Tax Credit]],0)</f>
        <v>66509.5</v>
      </c>
      <c r="O671" s="1">
        <f>MAX(MIN((Table1[[#This Row],[taxable wages]]-3000)*0.15,1000*num_kids_16_younger),0)</f>
        <v>5000</v>
      </c>
      <c r="P671" s="9">
        <f>IF(Table1[[#This Row],[Effective Child Tax Credit]]&gt;Table1[[#This Row],[Regular Taxes Owed]],Table1[[#This Row],[Additional Child Tax Credit ]]-Table1[[#This Row],[Regular Taxes Owed]],0)</f>
        <v>0</v>
      </c>
      <c r="Q67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1" s="1">
        <f>Table1[[#This Row],[Effective Additional Child Tax Credit]]+Table1[[#This Row],[Eitc]]</f>
        <v>0</v>
      </c>
      <c r="S671" s="9">
        <f>Table1[[#This Row],[Regular Taxes Owed - Effective Child Tax Credit]]-Table1[[#This Row],[Total Credits]]</f>
        <v>66509.5</v>
      </c>
      <c r="T671" s="9">
        <f>Table1[[#This Row],[taxable wages]]+interest+dividends+short_term_capital_gains+long_term_capital_gains-(charitable_donations+mortgage_interest)</f>
        <v>317000</v>
      </c>
      <c r="U671" s="9">
        <f>MAX(amt_exemption-amt_exemption_phase_out_rate*MAX(Table1[[#This Row],[taxable wages]]-amt_phase_out_begins,0),0)</f>
        <v>44475</v>
      </c>
      <c r="V67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72581</v>
      </c>
      <c r="W671" s="1">
        <f>IF(AND(Table1[[#This Row],[AMT Taxes]]&gt;Table1[[#This Row],[Regular Taxes Owed]],Table1[[#This Row],[AMT Taxes]]&gt;0),Table1[[#This Row],[AMT Taxes]]-Table1[[#This Row],[Regular Taxes Owed]],0)</f>
        <v>6071.5</v>
      </c>
      <c r="X671" s="9">
        <f>Table1[[#This Row],[Extra Taxes From Amt]]+Table1[[#This Row],[Federal Taxes Owed (No AMT)]]</f>
        <v>72581</v>
      </c>
      <c r="Y671" s="9">
        <f>IF(Table1[[#This Row],[taxable wages]]&gt;obamacare_surcharge_amount,obamacare_surcharge_percent*(Table1[[#This Row],[taxable wages]]-obamacare_surcharge_amount),0)</f>
        <v>603</v>
      </c>
      <c r="Z671" s="9">
        <f>Table1[[#This Row],[Federal Taxes Owed (Includes AMT)]]+Table1[[#This Row],[Obamacare surcharge premium]]</f>
        <v>73184</v>
      </c>
      <c r="AA671" s="9">
        <f>Table1[[#This Row],[taxable wages]]-Table1[[#This Row],[Federal Taxes Owed2]]</f>
        <v>243816</v>
      </c>
      <c r="AB671" s="51">
        <f t="shared" si="56"/>
        <v>0.35899999999999999</v>
      </c>
      <c r="AC671" s="41"/>
      <c r="AD671" s="13"/>
      <c r="AE671" s="13"/>
    </row>
    <row r="672" spans="2:31" x14ac:dyDescent="0.3">
      <c r="B672" s="41">
        <f t="shared" si="57"/>
        <v>317500</v>
      </c>
      <c r="C672" s="1">
        <f>Table1[[#This Row],[taxable wages]]</f>
        <v>317500</v>
      </c>
      <c r="D672" s="1">
        <f>Table1[[#This Row],[taxable wages]]+interest+dividends+short_term_capital_gains+long_term_capital_gains</f>
        <v>317500</v>
      </c>
      <c r="E672" s="1">
        <f>MAX(Table1[[#This Row],[earned income for EITC]:[Agi For Eitc Calc]])</f>
        <v>317500</v>
      </c>
      <c r="F672" s="1">
        <f>Table1[[#This Row],[taxable wages]]+interest+dividends+short_term_capital_gains+long_term_capital_gains-(trad_ira_contributions+MIN(student_loan_interest_cap,student_loan_interest))</f>
        <v>317500</v>
      </c>
      <c r="G672" s="1">
        <f t="shared" si="53"/>
        <v>12600</v>
      </c>
      <c r="H672" s="1">
        <f t="shared" si="54"/>
        <v>28350</v>
      </c>
      <c r="I672" s="1">
        <f>MAX(0,Table1[[#This Row],[Agi]]-Table1[[#This Row],[Exemptions]]-Table1[[#This Row],[Effective Deductions]])</f>
        <v>276550</v>
      </c>
      <c r="J67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66674.5</v>
      </c>
      <c r="K672" s="1">
        <f t="shared" si="55"/>
        <v>5000</v>
      </c>
      <c r="L672" s="1">
        <f>IF(Table1[[#This Row],[Agi]]&gt;ctc_phase_out_begins,ctc_phase_out_rate*(Table1[[#This Row],[Agi]]-ctc_phase_out_begins),0)</f>
        <v>10375</v>
      </c>
      <c r="M672" s="1">
        <f>MAX(Table1[[#This Row],[Child Tax Credit]]-Table1[[#This Row],[Child Tax Credit Phase Out]],0)</f>
        <v>0</v>
      </c>
      <c r="N672" s="1">
        <f>MAX(Table1[[#This Row],[Regular Taxes Owed]]-Table1[[#This Row],[Effective Child Tax Credit]],0)</f>
        <v>66674.5</v>
      </c>
      <c r="O672" s="1">
        <f>MAX(MIN((Table1[[#This Row],[taxable wages]]-3000)*0.15,1000*num_kids_16_younger),0)</f>
        <v>5000</v>
      </c>
      <c r="P672" s="9">
        <f>IF(Table1[[#This Row],[Effective Child Tax Credit]]&gt;Table1[[#This Row],[Regular Taxes Owed]],Table1[[#This Row],[Additional Child Tax Credit ]]-Table1[[#This Row],[Regular Taxes Owed]],0)</f>
        <v>0</v>
      </c>
      <c r="Q67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2" s="1">
        <f>Table1[[#This Row],[Effective Additional Child Tax Credit]]+Table1[[#This Row],[Eitc]]</f>
        <v>0</v>
      </c>
      <c r="S672" s="9">
        <f>Table1[[#This Row],[Regular Taxes Owed - Effective Child Tax Credit]]-Table1[[#This Row],[Total Credits]]</f>
        <v>66674.5</v>
      </c>
      <c r="T672" s="9">
        <f>Table1[[#This Row],[taxable wages]]+interest+dividends+short_term_capital_gains+long_term_capital_gains-(charitable_donations+mortgage_interest)</f>
        <v>317500</v>
      </c>
      <c r="U672" s="9">
        <f>MAX(amt_exemption-amt_exemption_phase_out_rate*MAX(Table1[[#This Row],[taxable wages]]-amt_phase_out_begins,0),0)</f>
        <v>44350</v>
      </c>
      <c r="V67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72756</v>
      </c>
      <c r="W672" s="1">
        <f>IF(AND(Table1[[#This Row],[AMT Taxes]]&gt;Table1[[#This Row],[Regular Taxes Owed]],Table1[[#This Row],[AMT Taxes]]&gt;0),Table1[[#This Row],[AMT Taxes]]-Table1[[#This Row],[Regular Taxes Owed]],0)</f>
        <v>6081.5</v>
      </c>
      <c r="X672" s="9">
        <f>Table1[[#This Row],[Extra Taxes From Amt]]+Table1[[#This Row],[Federal Taxes Owed (No AMT)]]</f>
        <v>72756</v>
      </c>
      <c r="Y672" s="9">
        <f>IF(Table1[[#This Row],[taxable wages]]&gt;obamacare_surcharge_amount,obamacare_surcharge_percent*(Table1[[#This Row],[taxable wages]]-obamacare_surcharge_amount),0)</f>
        <v>607.5</v>
      </c>
      <c r="Z672" s="9">
        <f>Table1[[#This Row],[Federal Taxes Owed (Includes AMT)]]+Table1[[#This Row],[Obamacare surcharge premium]]</f>
        <v>73363.5</v>
      </c>
      <c r="AA672" s="9">
        <f>Table1[[#This Row],[taxable wages]]-Table1[[#This Row],[Federal Taxes Owed2]]</f>
        <v>244136.5</v>
      </c>
      <c r="AB672" s="51">
        <f t="shared" si="56"/>
        <v>0.35899999999999999</v>
      </c>
      <c r="AC672" s="41"/>
      <c r="AD672" s="13"/>
      <c r="AE672" s="13"/>
    </row>
    <row r="673" spans="2:31" x14ac:dyDescent="0.3">
      <c r="B673" s="41">
        <f t="shared" si="57"/>
        <v>318000</v>
      </c>
      <c r="C673" s="1">
        <f>Table1[[#This Row],[taxable wages]]</f>
        <v>318000</v>
      </c>
      <c r="D673" s="1">
        <f>Table1[[#This Row],[taxable wages]]+interest+dividends+short_term_capital_gains+long_term_capital_gains</f>
        <v>318000</v>
      </c>
      <c r="E673" s="1">
        <f>MAX(Table1[[#This Row],[earned income for EITC]:[Agi For Eitc Calc]])</f>
        <v>318000</v>
      </c>
      <c r="F673" s="1">
        <f>Table1[[#This Row],[taxable wages]]+interest+dividends+short_term_capital_gains+long_term_capital_gains-(trad_ira_contributions+MIN(student_loan_interest_cap,student_loan_interest))</f>
        <v>318000</v>
      </c>
      <c r="G673" s="1">
        <f t="shared" si="53"/>
        <v>12600</v>
      </c>
      <c r="H673" s="1">
        <f t="shared" si="54"/>
        <v>28350</v>
      </c>
      <c r="I673" s="1">
        <f>MAX(0,Table1[[#This Row],[Agi]]-Table1[[#This Row],[Exemptions]]-Table1[[#This Row],[Effective Deductions]])</f>
        <v>277050</v>
      </c>
      <c r="J67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66839.5</v>
      </c>
      <c r="K673" s="1">
        <f t="shared" si="55"/>
        <v>5000</v>
      </c>
      <c r="L673" s="1">
        <f>IF(Table1[[#This Row],[Agi]]&gt;ctc_phase_out_begins,ctc_phase_out_rate*(Table1[[#This Row],[Agi]]-ctc_phase_out_begins),0)</f>
        <v>10400</v>
      </c>
      <c r="M673" s="1">
        <f>MAX(Table1[[#This Row],[Child Tax Credit]]-Table1[[#This Row],[Child Tax Credit Phase Out]],0)</f>
        <v>0</v>
      </c>
      <c r="N673" s="1">
        <f>MAX(Table1[[#This Row],[Regular Taxes Owed]]-Table1[[#This Row],[Effective Child Tax Credit]],0)</f>
        <v>66839.5</v>
      </c>
      <c r="O673" s="1">
        <f>MAX(MIN((Table1[[#This Row],[taxable wages]]-3000)*0.15,1000*num_kids_16_younger),0)</f>
        <v>5000</v>
      </c>
      <c r="P673" s="9">
        <f>IF(Table1[[#This Row],[Effective Child Tax Credit]]&gt;Table1[[#This Row],[Regular Taxes Owed]],Table1[[#This Row],[Additional Child Tax Credit ]]-Table1[[#This Row],[Regular Taxes Owed]],0)</f>
        <v>0</v>
      </c>
      <c r="Q67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3" s="1">
        <f>Table1[[#This Row],[Effective Additional Child Tax Credit]]+Table1[[#This Row],[Eitc]]</f>
        <v>0</v>
      </c>
      <c r="S673" s="9">
        <f>Table1[[#This Row],[Regular Taxes Owed - Effective Child Tax Credit]]-Table1[[#This Row],[Total Credits]]</f>
        <v>66839.5</v>
      </c>
      <c r="T673" s="9">
        <f>Table1[[#This Row],[taxable wages]]+interest+dividends+short_term_capital_gains+long_term_capital_gains-(charitable_donations+mortgage_interest)</f>
        <v>318000</v>
      </c>
      <c r="U673" s="9">
        <f>MAX(amt_exemption-amt_exemption_phase_out_rate*MAX(Table1[[#This Row],[taxable wages]]-amt_phase_out_begins,0),0)</f>
        <v>44225</v>
      </c>
      <c r="V67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72931</v>
      </c>
      <c r="W673" s="1">
        <f>IF(AND(Table1[[#This Row],[AMT Taxes]]&gt;Table1[[#This Row],[Regular Taxes Owed]],Table1[[#This Row],[AMT Taxes]]&gt;0),Table1[[#This Row],[AMT Taxes]]-Table1[[#This Row],[Regular Taxes Owed]],0)</f>
        <v>6091.5</v>
      </c>
      <c r="X673" s="9">
        <f>Table1[[#This Row],[Extra Taxes From Amt]]+Table1[[#This Row],[Federal Taxes Owed (No AMT)]]</f>
        <v>72931</v>
      </c>
      <c r="Y673" s="9">
        <f>IF(Table1[[#This Row],[taxable wages]]&gt;obamacare_surcharge_amount,obamacare_surcharge_percent*(Table1[[#This Row],[taxable wages]]-obamacare_surcharge_amount),0)</f>
        <v>612</v>
      </c>
      <c r="Z673" s="9">
        <f>Table1[[#This Row],[Federal Taxes Owed (Includes AMT)]]+Table1[[#This Row],[Obamacare surcharge premium]]</f>
        <v>73543</v>
      </c>
      <c r="AA673" s="9">
        <f>Table1[[#This Row],[taxable wages]]-Table1[[#This Row],[Federal Taxes Owed2]]</f>
        <v>244457</v>
      </c>
      <c r="AB673" s="51">
        <f t="shared" si="56"/>
        <v>0.35899999999999999</v>
      </c>
      <c r="AC673" s="41"/>
      <c r="AD673" s="13"/>
      <c r="AE673" s="13"/>
    </row>
    <row r="674" spans="2:31" x14ac:dyDescent="0.3">
      <c r="B674" s="41">
        <f t="shared" si="57"/>
        <v>318500</v>
      </c>
      <c r="C674" s="1">
        <f>Table1[[#This Row],[taxable wages]]</f>
        <v>318500</v>
      </c>
      <c r="D674" s="1">
        <f>Table1[[#This Row],[taxable wages]]+interest+dividends+short_term_capital_gains+long_term_capital_gains</f>
        <v>318500</v>
      </c>
      <c r="E674" s="1">
        <f>MAX(Table1[[#This Row],[earned income for EITC]:[Agi For Eitc Calc]])</f>
        <v>318500</v>
      </c>
      <c r="F674" s="1">
        <f>Table1[[#This Row],[taxable wages]]+interest+dividends+short_term_capital_gains+long_term_capital_gains-(trad_ira_contributions+MIN(student_loan_interest_cap,student_loan_interest))</f>
        <v>318500</v>
      </c>
      <c r="G674" s="1">
        <f t="shared" si="53"/>
        <v>12600</v>
      </c>
      <c r="H674" s="1">
        <f t="shared" si="54"/>
        <v>28350</v>
      </c>
      <c r="I674" s="1">
        <f>MAX(0,Table1[[#This Row],[Agi]]-Table1[[#This Row],[Exemptions]]-Table1[[#This Row],[Effective Deductions]])</f>
        <v>277550</v>
      </c>
      <c r="J67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67004.5</v>
      </c>
      <c r="K674" s="1">
        <f t="shared" si="55"/>
        <v>5000</v>
      </c>
      <c r="L674" s="1">
        <f>IF(Table1[[#This Row],[Agi]]&gt;ctc_phase_out_begins,ctc_phase_out_rate*(Table1[[#This Row],[Agi]]-ctc_phase_out_begins),0)</f>
        <v>10425</v>
      </c>
      <c r="M674" s="1">
        <f>MAX(Table1[[#This Row],[Child Tax Credit]]-Table1[[#This Row],[Child Tax Credit Phase Out]],0)</f>
        <v>0</v>
      </c>
      <c r="N674" s="1">
        <f>MAX(Table1[[#This Row],[Regular Taxes Owed]]-Table1[[#This Row],[Effective Child Tax Credit]],0)</f>
        <v>67004.5</v>
      </c>
      <c r="O674" s="1">
        <f>MAX(MIN((Table1[[#This Row],[taxable wages]]-3000)*0.15,1000*num_kids_16_younger),0)</f>
        <v>5000</v>
      </c>
      <c r="P674" s="9">
        <f>IF(Table1[[#This Row],[Effective Child Tax Credit]]&gt;Table1[[#This Row],[Regular Taxes Owed]],Table1[[#This Row],[Additional Child Tax Credit ]]-Table1[[#This Row],[Regular Taxes Owed]],0)</f>
        <v>0</v>
      </c>
      <c r="Q67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4" s="1">
        <f>Table1[[#This Row],[Effective Additional Child Tax Credit]]+Table1[[#This Row],[Eitc]]</f>
        <v>0</v>
      </c>
      <c r="S674" s="9">
        <f>Table1[[#This Row],[Regular Taxes Owed - Effective Child Tax Credit]]-Table1[[#This Row],[Total Credits]]</f>
        <v>67004.5</v>
      </c>
      <c r="T674" s="9">
        <f>Table1[[#This Row],[taxable wages]]+interest+dividends+short_term_capital_gains+long_term_capital_gains-(charitable_donations+mortgage_interest)</f>
        <v>318500</v>
      </c>
      <c r="U674" s="9">
        <f>MAX(amt_exemption-amt_exemption_phase_out_rate*MAX(Table1[[#This Row],[taxable wages]]-amt_phase_out_begins,0),0)</f>
        <v>44100</v>
      </c>
      <c r="V67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73106</v>
      </c>
      <c r="W674" s="1">
        <f>IF(AND(Table1[[#This Row],[AMT Taxes]]&gt;Table1[[#This Row],[Regular Taxes Owed]],Table1[[#This Row],[AMT Taxes]]&gt;0),Table1[[#This Row],[AMT Taxes]]-Table1[[#This Row],[Regular Taxes Owed]],0)</f>
        <v>6101.5</v>
      </c>
      <c r="X674" s="9">
        <f>Table1[[#This Row],[Extra Taxes From Amt]]+Table1[[#This Row],[Federal Taxes Owed (No AMT)]]</f>
        <v>73106</v>
      </c>
      <c r="Y674" s="9">
        <f>IF(Table1[[#This Row],[taxable wages]]&gt;obamacare_surcharge_amount,obamacare_surcharge_percent*(Table1[[#This Row],[taxable wages]]-obamacare_surcharge_amount),0)</f>
        <v>616.5</v>
      </c>
      <c r="Z674" s="9">
        <f>Table1[[#This Row],[Federal Taxes Owed (Includes AMT)]]+Table1[[#This Row],[Obamacare surcharge premium]]</f>
        <v>73722.5</v>
      </c>
      <c r="AA674" s="9">
        <f>Table1[[#This Row],[taxable wages]]-Table1[[#This Row],[Federal Taxes Owed2]]</f>
        <v>244777.5</v>
      </c>
      <c r="AB674" s="51">
        <f t="shared" si="56"/>
        <v>0.35899999999999999</v>
      </c>
      <c r="AC674" s="41"/>
      <c r="AD674" s="13"/>
      <c r="AE674" s="13"/>
    </row>
    <row r="675" spans="2:31" x14ac:dyDescent="0.3">
      <c r="B675" s="41">
        <f t="shared" si="57"/>
        <v>319000</v>
      </c>
      <c r="C675" s="1">
        <f>Table1[[#This Row],[taxable wages]]</f>
        <v>319000</v>
      </c>
      <c r="D675" s="1">
        <f>Table1[[#This Row],[taxable wages]]+interest+dividends+short_term_capital_gains+long_term_capital_gains</f>
        <v>319000</v>
      </c>
      <c r="E675" s="1">
        <f>MAX(Table1[[#This Row],[earned income for EITC]:[Agi For Eitc Calc]])</f>
        <v>319000</v>
      </c>
      <c r="F675" s="1">
        <f>Table1[[#This Row],[taxable wages]]+interest+dividends+short_term_capital_gains+long_term_capital_gains-(trad_ira_contributions+MIN(student_loan_interest_cap,student_loan_interest))</f>
        <v>319000</v>
      </c>
      <c r="G675" s="1">
        <f t="shared" si="53"/>
        <v>12600</v>
      </c>
      <c r="H675" s="1">
        <f t="shared" si="54"/>
        <v>28350</v>
      </c>
      <c r="I675" s="1">
        <f>MAX(0,Table1[[#This Row],[Agi]]-Table1[[#This Row],[Exemptions]]-Table1[[#This Row],[Effective Deductions]])</f>
        <v>278050</v>
      </c>
      <c r="J67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67169.5</v>
      </c>
      <c r="K675" s="1">
        <f t="shared" si="55"/>
        <v>5000</v>
      </c>
      <c r="L675" s="1">
        <f>IF(Table1[[#This Row],[Agi]]&gt;ctc_phase_out_begins,ctc_phase_out_rate*(Table1[[#This Row],[Agi]]-ctc_phase_out_begins),0)</f>
        <v>10450</v>
      </c>
      <c r="M675" s="1">
        <f>MAX(Table1[[#This Row],[Child Tax Credit]]-Table1[[#This Row],[Child Tax Credit Phase Out]],0)</f>
        <v>0</v>
      </c>
      <c r="N675" s="1">
        <f>MAX(Table1[[#This Row],[Regular Taxes Owed]]-Table1[[#This Row],[Effective Child Tax Credit]],0)</f>
        <v>67169.5</v>
      </c>
      <c r="O675" s="1">
        <f>MAX(MIN((Table1[[#This Row],[taxable wages]]-3000)*0.15,1000*num_kids_16_younger),0)</f>
        <v>5000</v>
      </c>
      <c r="P675" s="9">
        <f>IF(Table1[[#This Row],[Effective Child Tax Credit]]&gt;Table1[[#This Row],[Regular Taxes Owed]],Table1[[#This Row],[Additional Child Tax Credit ]]-Table1[[#This Row],[Regular Taxes Owed]],0)</f>
        <v>0</v>
      </c>
      <c r="Q67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5" s="1">
        <f>Table1[[#This Row],[Effective Additional Child Tax Credit]]+Table1[[#This Row],[Eitc]]</f>
        <v>0</v>
      </c>
      <c r="S675" s="9">
        <f>Table1[[#This Row],[Regular Taxes Owed - Effective Child Tax Credit]]-Table1[[#This Row],[Total Credits]]</f>
        <v>67169.5</v>
      </c>
      <c r="T675" s="9">
        <f>Table1[[#This Row],[taxable wages]]+interest+dividends+short_term_capital_gains+long_term_capital_gains-(charitable_donations+mortgage_interest)</f>
        <v>319000</v>
      </c>
      <c r="U675" s="9">
        <f>MAX(amt_exemption-amt_exemption_phase_out_rate*MAX(Table1[[#This Row],[taxable wages]]-amt_phase_out_begins,0),0)</f>
        <v>43975</v>
      </c>
      <c r="V67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73281</v>
      </c>
      <c r="W675" s="1">
        <f>IF(AND(Table1[[#This Row],[AMT Taxes]]&gt;Table1[[#This Row],[Regular Taxes Owed]],Table1[[#This Row],[AMT Taxes]]&gt;0),Table1[[#This Row],[AMT Taxes]]-Table1[[#This Row],[Regular Taxes Owed]],0)</f>
        <v>6111.5</v>
      </c>
      <c r="X675" s="9">
        <f>Table1[[#This Row],[Extra Taxes From Amt]]+Table1[[#This Row],[Federal Taxes Owed (No AMT)]]</f>
        <v>73281</v>
      </c>
      <c r="Y675" s="9">
        <f>IF(Table1[[#This Row],[taxable wages]]&gt;obamacare_surcharge_amount,obamacare_surcharge_percent*(Table1[[#This Row],[taxable wages]]-obamacare_surcharge_amount),0)</f>
        <v>621</v>
      </c>
      <c r="Z675" s="9">
        <f>Table1[[#This Row],[Federal Taxes Owed (Includes AMT)]]+Table1[[#This Row],[Obamacare surcharge premium]]</f>
        <v>73902</v>
      </c>
      <c r="AA675" s="9">
        <f>Table1[[#This Row],[taxable wages]]-Table1[[#This Row],[Federal Taxes Owed2]]</f>
        <v>245098</v>
      </c>
      <c r="AB675" s="51">
        <f t="shared" si="56"/>
        <v>0.35899999999999999</v>
      </c>
      <c r="AC675" s="41"/>
      <c r="AD675" s="13"/>
      <c r="AE675" s="13"/>
    </row>
    <row r="676" spans="2:31" x14ac:dyDescent="0.3">
      <c r="B676" s="41">
        <f t="shared" si="57"/>
        <v>319500</v>
      </c>
      <c r="C676" s="1">
        <f>Table1[[#This Row],[taxable wages]]</f>
        <v>319500</v>
      </c>
      <c r="D676" s="1">
        <f>Table1[[#This Row],[taxable wages]]+interest+dividends+short_term_capital_gains+long_term_capital_gains</f>
        <v>319500</v>
      </c>
      <c r="E676" s="1">
        <f>MAX(Table1[[#This Row],[earned income for EITC]:[Agi For Eitc Calc]])</f>
        <v>319500</v>
      </c>
      <c r="F676" s="1">
        <f>Table1[[#This Row],[taxable wages]]+interest+dividends+short_term_capital_gains+long_term_capital_gains-(trad_ira_contributions+MIN(student_loan_interest_cap,student_loan_interest))</f>
        <v>319500</v>
      </c>
      <c r="G676" s="1">
        <f t="shared" si="53"/>
        <v>12600</v>
      </c>
      <c r="H676" s="1">
        <f t="shared" si="54"/>
        <v>28350</v>
      </c>
      <c r="I676" s="1">
        <f>MAX(0,Table1[[#This Row],[Agi]]-Table1[[#This Row],[Exemptions]]-Table1[[#This Row],[Effective Deductions]])</f>
        <v>278550</v>
      </c>
      <c r="J67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67334.5</v>
      </c>
      <c r="K676" s="1">
        <f t="shared" si="55"/>
        <v>5000</v>
      </c>
      <c r="L676" s="1">
        <f>IF(Table1[[#This Row],[Agi]]&gt;ctc_phase_out_begins,ctc_phase_out_rate*(Table1[[#This Row],[Agi]]-ctc_phase_out_begins),0)</f>
        <v>10475</v>
      </c>
      <c r="M676" s="1">
        <f>MAX(Table1[[#This Row],[Child Tax Credit]]-Table1[[#This Row],[Child Tax Credit Phase Out]],0)</f>
        <v>0</v>
      </c>
      <c r="N676" s="1">
        <f>MAX(Table1[[#This Row],[Regular Taxes Owed]]-Table1[[#This Row],[Effective Child Tax Credit]],0)</f>
        <v>67334.5</v>
      </c>
      <c r="O676" s="1">
        <f>MAX(MIN((Table1[[#This Row],[taxable wages]]-3000)*0.15,1000*num_kids_16_younger),0)</f>
        <v>5000</v>
      </c>
      <c r="P676" s="9">
        <f>IF(Table1[[#This Row],[Effective Child Tax Credit]]&gt;Table1[[#This Row],[Regular Taxes Owed]],Table1[[#This Row],[Additional Child Tax Credit ]]-Table1[[#This Row],[Regular Taxes Owed]],0)</f>
        <v>0</v>
      </c>
      <c r="Q67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6" s="1">
        <f>Table1[[#This Row],[Effective Additional Child Tax Credit]]+Table1[[#This Row],[Eitc]]</f>
        <v>0</v>
      </c>
      <c r="S676" s="9">
        <f>Table1[[#This Row],[Regular Taxes Owed - Effective Child Tax Credit]]-Table1[[#This Row],[Total Credits]]</f>
        <v>67334.5</v>
      </c>
      <c r="T676" s="9">
        <f>Table1[[#This Row],[taxable wages]]+interest+dividends+short_term_capital_gains+long_term_capital_gains-(charitable_donations+mortgage_interest)</f>
        <v>319500</v>
      </c>
      <c r="U676" s="9">
        <f>MAX(amt_exemption-amt_exemption_phase_out_rate*MAX(Table1[[#This Row],[taxable wages]]-amt_phase_out_begins,0),0)</f>
        <v>43850</v>
      </c>
      <c r="V67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73456</v>
      </c>
      <c r="W676" s="1">
        <f>IF(AND(Table1[[#This Row],[AMT Taxes]]&gt;Table1[[#This Row],[Regular Taxes Owed]],Table1[[#This Row],[AMT Taxes]]&gt;0),Table1[[#This Row],[AMT Taxes]]-Table1[[#This Row],[Regular Taxes Owed]],0)</f>
        <v>6121.5</v>
      </c>
      <c r="X676" s="9">
        <f>Table1[[#This Row],[Extra Taxes From Amt]]+Table1[[#This Row],[Federal Taxes Owed (No AMT)]]</f>
        <v>73456</v>
      </c>
      <c r="Y676" s="9">
        <f>IF(Table1[[#This Row],[taxable wages]]&gt;obamacare_surcharge_amount,obamacare_surcharge_percent*(Table1[[#This Row],[taxable wages]]-obamacare_surcharge_amount),0)</f>
        <v>625.5</v>
      </c>
      <c r="Z676" s="9">
        <f>Table1[[#This Row],[Federal Taxes Owed (Includes AMT)]]+Table1[[#This Row],[Obamacare surcharge premium]]</f>
        <v>74081.5</v>
      </c>
      <c r="AA676" s="9">
        <f>Table1[[#This Row],[taxable wages]]-Table1[[#This Row],[Federal Taxes Owed2]]</f>
        <v>245418.5</v>
      </c>
      <c r="AB676" s="51">
        <f t="shared" si="56"/>
        <v>0.35899999999999999</v>
      </c>
      <c r="AC676" s="41"/>
      <c r="AD676" s="13"/>
      <c r="AE676" s="13"/>
    </row>
    <row r="677" spans="2:31" x14ac:dyDescent="0.3">
      <c r="B677" s="41">
        <f t="shared" si="57"/>
        <v>320000</v>
      </c>
      <c r="C677" s="1">
        <f>Table1[[#This Row],[taxable wages]]</f>
        <v>320000</v>
      </c>
      <c r="D677" s="1">
        <f>Table1[[#This Row],[taxable wages]]+interest+dividends+short_term_capital_gains+long_term_capital_gains</f>
        <v>320000</v>
      </c>
      <c r="E677" s="1">
        <f>MAX(Table1[[#This Row],[earned income for EITC]:[Agi For Eitc Calc]])</f>
        <v>320000</v>
      </c>
      <c r="F677" s="1">
        <f>Table1[[#This Row],[taxable wages]]+interest+dividends+short_term_capital_gains+long_term_capital_gains-(trad_ira_contributions+MIN(student_loan_interest_cap,student_loan_interest))</f>
        <v>320000</v>
      </c>
      <c r="G677" s="1">
        <f t="shared" si="53"/>
        <v>12600</v>
      </c>
      <c r="H677" s="1">
        <f t="shared" si="54"/>
        <v>28350</v>
      </c>
      <c r="I677" s="1">
        <f>MAX(0,Table1[[#This Row],[Agi]]-Table1[[#This Row],[Exemptions]]-Table1[[#This Row],[Effective Deductions]])</f>
        <v>279050</v>
      </c>
      <c r="J67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67499.5</v>
      </c>
      <c r="K677" s="1">
        <f t="shared" si="55"/>
        <v>5000</v>
      </c>
      <c r="L677" s="1">
        <f>IF(Table1[[#This Row],[Agi]]&gt;ctc_phase_out_begins,ctc_phase_out_rate*(Table1[[#This Row],[Agi]]-ctc_phase_out_begins),0)</f>
        <v>10500</v>
      </c>
      <c r="M677" s="1">
        <f>MAX(Table1[[#This Row],[Child Tax Credit]]-Table1[[#This Row],[Child Tax Credit Phase Out]],0)</f>
        <v>0</v>
      </c>
      <c r="N677" s="1">
        <f>MAX(Table1[[#This Row],[Regular Taxes Owed]]-Table1[[#This Row],[Effective Child Tax Credit]],0)</f>
        <v>67499.5</v>
      </c>
      <c r="O677" s="1">
        <f>MAX(MIN((Table1[[#This Row],[taxable wages]]-3000)*0.15,1000*num_kids_16_younger),0)</f>
        <v>5000</v>
      </c>
      <c r="P677" s="9">
        <f>IF(Table1[[#This Row],[Effective Child Tax Credit]]&gt;Table1[[#This Row],[Regular Taxes Owed]],Table1[[#This Row],[Additional Child Tax Credit ]]-Table1[[#This Row],[Regular Taxes Owed]],0)</f>
        <v>0</v>
      </c>
      <c r="Q67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7" s="1">
        <f>Table1[[#This Row],[Effective Additional Child Tax Credit]]+Table1[[#This Row],[Eitc]]</f>
        <v>0</v>
      </c>
      <c r="S677" s="9">
        <f>Table1[[#This Row],[Regular Taxes Owed - Effective Child Tax Credit]]-Table1[[#This Row],[Total Credits]]</f>
        <v>67499.5</v>
      </c>
      <c r="T677" s="9">
        <f>Table1[[#This Row],[taxable wages]]+interest+dividends+short_term_capital_gains+long_term_capital_gains-(charitable_donations+mortgage_interest)</f>
        <v>320000</v>
      </c>
      <c r="U677" s="9">
        <f>MAX(amt_exemption-amt_exemption_phase_out_rate*MAX(Table1[[#This Row],[taxable wages]]-amt_phase_out_begins,0),0)</f>
        <v>43725</v>
      </c>
      <c r="V67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73631</v>
      </c>
      <c r="W677" s="1">
        <f>IF(AND(Table1[[#This Row],[AMT Taxes]]&gt;Table1[[#This Row],[Regular Taxes Owed]],Table1[[#This Row],[AMT Taxes]]&gt;0),Table1[[#This Row],[AMT Taxes]]-Table1[[#This Row],[Regular Taxes Owed]],0)</f>
        <v>6131.5</v>
      </c>
      <c r="X677" s="9">
        <f>Table1[[#This Row],[Extra Taxes From Amt]]+Table1[[#This Row],[Federal Taxes Owed (No AMT)]]</f>
        <v>73631</v>
      </c>
      <c r="Y677" s="9">
        <f>IF(Table1[[#This Row],[taxable wages]]&gt;obamacare_surcharge_amount,obamacare_surcharge_percent*(Table1[[#This Row],[taxable wages]]-obamacare_surcharge_amount),0)</f>
        <v>630</v>
      </c>
      <c r="Z677" s="9">
        <f>Table1[[#This Row],[Federal Taxes Owed (Includes AMT)]]+Table1[[#This Row],[Obamacare surcharge premium]]</f>
        <v>74261</v>
      </c>
      <c r="AA677" s="9">
        <f>Table1[[#This Row],[taxable wages]]-Table1[[#This Row],[Federal Taxes Owed2]]</f>
        <v>245739</v>
      </c>
      <c r="AB677" s="51">
        <f t="shared" si="56"/>
        <v>0.35899999999999999</v>
      </c>
      <c r="AC677" s="41"/>
      <c r="AD677" s="13"/>
      <c r="AE677" s="13"/>
    </row>
    <row r="678" spans="2:31" x14ac:dyDescent="0.3">
      <c r="B678" s="41">
        <f t="shared" si="57"/>
        <v>320500</v>
      </c>
      <c r="C678" s="1">
        <f>Table1[[#This Row],[taxable wages]]</f>
        <v>320500</v>
      </c>
      <c r="D678" s="1">
        <f>Table1[[#This Row],[taxable wages]]+interest+dividends+short_term_capital_gains+long_term_capital_gains</f>
        <v>320500</v>
      </c>
      <c r="E678" s="1">
        <f>MAX(Table1[[#This Row],[earned income for EITC]:[Agi For Eitc Calc]])</f>
        <v>320500</v>
      </c>
      <c r="F678" s="1">
        <f>Table1[[#This Row],[taxable wages]]+interest+dividends+short_term_capital_gains+long_term_capital_gains-(trad_ira_contributions+MIN(student_loan_interest_cap,student_loan_interest))</f>
        <v>320500</v>
      </c>
      <c r="G678" s="1">
        <f t="shared" ref="G678:G741" si="58">MAX(standard_deduction,mortgage_interest+real_estate_property_taxes+state_income_tax_paid+charitable_donations+medical_expenses)</f>
        <v>12600</v>
      </c>
      <c r="H678" s="1">
        <f t="shared" ref="H678:H741" si="59">num_people_in_family*personal_exemption</f>
        <v>28350</v>
      </c>
      <c r="I678" s="1">
        <f>MAX(0,Table1[[#This Row],[Agi]]-Table1[[#This Row],[Exemptions]]-Table1[[#This Row],[Effective Deductions]])</f>
        <v>279550</v>
      </c>
      <c r="J67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67664.5</v>
      </c>
      <c r="K678" s="1">
        <f t="shared" ref="K678:K741" si="60">child_tax_credit*num_kids_16_younger</f>
        <v>5000</v>
      </c>
      <c r="L678" s="1">
        <f>IF(Table1[[#This Row],[Agi]]&gt;ctc_phase_out_begins,ctc_phase_out_rate*(Table1[[#This Row],[Agi]]-ctc_phase_out_begins),0)</f>
        <v>10525</v>
      </c>
      <c r="M678" s="1">
        <f>MAX(Table1[[#This Row],[Child Tax Credit]]-Table1[[#This Row],[Child Tax Credit Phase Out]],0)</f>
        <v>0</v>
      </c>
      <c r="N678" s="1">
        <f>MAX(Table1[[#This Row],[Regular Taxes Owed]]-Table1[[#This Row],[Effective Child Tax Credit]],0)</f>
        <v>67664.5</v>
      </c>
      <c r="O678" s="1">
        <f>MAX(MIN((Table1[[#This Row],[taxable wages]]-3000)*0.15,1000*num_kids_16_younger),0)</f>
        <v>5000</v>
      </c>
      <c r="P678" s="9">
        <f>IF(Table1[[#This Row],[Effective Child Tax Credit]]&gt;Table1[[#This Row],[Regular Taxes Owed]],Table1[[#This Row],[Additional Child Tax Credit ]]-Table1[[#This Row],[Regular Taxes Owed]],0)</f>
        <v>0</v>
      </c>
      <c r="Q67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8" s="1">
        <f>Table1[[#This Row],[Effective Additional Child Tax Credit]]+Table1[[#This Row],[Eitc]]</f>
        <v>0</v>
      </c>
      <c r="S678" s="9">
        <f>Table1[[#This Row],[Regular Taxes Owed - Effective Child Tax Credit]]-Table1[[#This Row],[Total Credits]]</f>
        <v>67664.5</v>
      </c>
      <c r="T678" s="9">
        <f>Table1[[#This Row],[taxable wages]]+interest+dividends+short_term_capital_gains+long_term_capital_gains-(charitable_donations+mortgage_interest)</f>
        <v>320500</v>
      </c>
      <c r="U678" s="9">
        <f>MAX(amt_exemption-amt_exemption_phase_out_rate*MAX(Table1[[#This Row],[taxable wages]]-amt_phase_out_begins,0),0)</f>
        <v>43600</v>
      </c>
      <c r="V67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73806</v>
      </c>
      <c r="W678" s="1">
        <f>IF(AND(Table1[[#This Row],[AMT Taxes]]&gt;Table1[[#This Row],[Regular Taxes Owed]],Table1[[#This Row],[AMT Taxes]]&gt;0),Table1[[#This Row],[AMT Taxes]]-Table1[[#This Row],[Regular Taxes Owed]],0)</f>
        <v>6141.5</v>
      </c>
      <c r="X678" s="9">
        <f>Table1[[#This Row],[Extra Taxes From Amt]]+Table1[[#This Row],[Federal Taxes Owed (No AMT)]]</f>
        <v>73806</v>
      </c>
      <c r="Y678" s="9">
        <f>IF(Table1[[#This Row],[taxable wages]]&gt;obamacare_surcharge_amount,obamacare_surcharge_percent*(Table1[[#This Row],[taxable wages]]-obamacare_surcharge_amount),0)</f>
        <v>634.5</v>
      </c>
      <c r="Z678" s="9">
        <f>Table1[[#This Row],[Federal Taxes Owed (Includes AMT)]]+Table1[[#This Row],[Obamacare surcharge premium]]</f>
        <v>74440.5</v>
      </c>
      <c r="AA678" s="9">
        <f>Table1[[#This Row],[taxable wages]]-Table1[[#This Row],[Federal Taxes Owed2]]</f>
        <v>246059.5</v>
      </c>
      <c r="AB678" s="51">
        <f t="shared" si="56"/>
        <v>0.35899999999999999</v>
      </c>
      <c r="AC678" s="41"/>
      <c r="AD678" s="13"/>
      <c r="AE678" s="13"/>
    </row>
    <row r="679" spans="2:31" x14ac:dyDescent="0.3">
      <c r="B679" s="41">
        <f t="shared" si="57"/>
        <v>321000</v>
      </c>
      <c r="C679" s="1">
        <f>Table1[[#This Row],[taxable wages]]</f>
        <v>321000</v>
      </c>
      <c r="D679" s="1">
        <f>Table1[[#This Row],[taxable wages]]+interest+dividends+short_term_capital_gains+long_term_capital_gains</f>
        <v>321000</v>
      </c>
      <c r="E679" s="1">
        <f>MAX(Table1[[#This Row],[earned income for EITC]:[Agi For Eitc Calc]])</f>
        <v>321000</v>
      </c>
      <c r="F679" s="1">
        <f>Table1[[#This Row],[taxable wages]]+interest+dividends+short_term_capital_gains+long_term_capital_gains-(trad_ira_contributions+MIN(student_loan_interest_cap,student_loan_interest))</f>
        <v>321000</v>
      </c>
      <c r="G679" s="1">
        <f t="shared" si="58"/>
        <v>12600</v>
      </c>
      <c r="H679" s="1">
        <f t="shared" si="59"/>
        <v>28350</v>
      </c>
      <c r="I679" s="1">
        <f>MAX(0,Table1[[#This Row],[Agi]]-Table1[[#This Row],[Exemptions]]-Table1[[#This Row],[Effective Deductions]])</f>
        <v>280050</v>
      </c>
      <c r="J67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67829.5</v>
      </c>
      <c r="K679" s="1">
        <f t="shared" si="60"/>
        <v>5000</v>
      </c>
      <c r="L679" s="1">
        <f>IF(Table1[[#This Row],[Agi]]&gt;ctc_phase_out_begins,ctc_phase_out_rate*(Table1[[#This Row],[Agi]]-ctc_phase_out_begins),0)</f>
        <v>10550</v>
      </c>
      <c r="M679" s="1">
        <f>MAX(Table1[[#This Row],[Child Tax Credit]]-Table1[[#This Row],[Child Tax Credit Phase Out]],0)</f>
        <v>0</v>
      </c>
      <c r="N679" s="1">
        <f>MAX(Table1[[#This Row],[Regular Taxes Owed]]-Table1[[#This Row],[Effective Child Tax Credit]],0)</f>
        <v>67829.5</v>
      </c>
      <c r="O679" s="1">
        <f>MAX(MIN((Table1[[#This Row],[taxable wages]]-3000)*0.15,1000*num_kids_16_younger),0)</f>
        <v>5000</v>
      </c>
      <c r="P679" s="9">
        <f>IF(Table1[[#This Row],[Effective Child Tax Credit]]&gt;Table1[[#This Row],[Regular Taxes Owed]],Table1[[#This Row],[Additional Child Tax Credit ]]-Table1[[#This Row],[Regular Taxes Owed]],0)</f>
        <v>0</v>
      </c>
      <c r="Q67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79" s="1">
        <f>Table1[[#This Row],[Effective Additional Child Tax Credit]]+Table1[[#This Row],[Eitc]]</f>
        <v>0</v>
      </c>
      <c r="S679" s="9">
        <f>Table1[[#This Row],[Regular Taxes Owed - Effective Child Tax Credit]]-Table1[[#This Row],[Total Credits]]</f>
        <v>67829.5</v>
      </c>
      <c r="T679" s="9">
        <f>Table1[[#This Row],[taxable wages]]+interest+dividends+short_term_capital_gains+long_term_capital_gains-(charitable_donations+mortgage_interest)</f>
        <v>321000</v>
      </c>
      <c r="U679" s="9">
        <f>MAX(amt_exemption-amt_exemption_phase_out_rate*MAX(Table1[[#This Row],[taxable wages]]-amt_phase_out_begins,0),0)</f>
        <v>43475</v>
      </c>
      <c r="V67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73981</v>
      </c>
      <c r="W679" s="1">
        <f>IF(AND(Table1[[#This Row],[AMT Taxes]]&gt;Table1[[#This Row],[Regular Taxes Owed]],Table1[[#This Row],[AMT Taxes]]&gt;0),Table1[[#This Row],[AMT Taxes]]-Table1[[#This Row],[Regular Taxes Owed]],0)</f>
        <v>6151.5</v>
      </c>
      <c r="X679" s="9">
        <f>Table1[[#This Row],[Extra Taxes From Amt]]+Table1[[#This Row],[Federal Taxes Owed (No AMT)]]</f>
        <v>73981</v>
      </c>
      <c r="Y679" s="9">
        <f>IF(Table1[[#This Row],[taxable wages]]&gt;obamacare_surcharge_amount,obamacare_surcharge_percent*(Table1[[#This Row],[taxable wages]]-obamacare_surcharge_amount),0)</f>
        <v>639</v>
      </c>
      <c r="Z679" s="9">
        <f>Table1[[#This Row],[Federal Taxes Owed (Includes AMT)]]+Table1[[#This Row],[Obamacare surcharge premium]]</f>
        <v>74620</v>
      </c>
      <c r="AA679" s="9">
        <f>Table1[[#This Row],[taxable wages]]-Table1[[#This Row],[Federal Taxes Owed2]]</f>
        <v>246380</v>
      </c>
      <c r="AB679" s="51">
        <f t="shared" ref="AB679:AB741" si="61">(Z679-Z678)/(B679-B678)</f>
        <v>0.35899999999999999</v>
      </c>
      <c r="AC679" s="41"/>
      <c r="AD679" s="13"/>
      <c r="AE679" s="13"/>
    </row>
    <row r="680" spans="2:31" x14ac:dyDescent="0.3">
      <c r="B680" s="41">
        <f t="shared" ref="B680:B741" si="62">B679+500</f>
        <v>321500</v>
      </c>
      <c r="C680" s="1">
        <f>Table1[[#This Row],[taxable wages]]</f>
        <v>321500</v>
      </c>
      <c r="D680" s="1">
        <f>Table1[[#This Row],[taxable wages]]+interest+dividends+short_term_capital_gains+long_term_capital_gains</f>
        <v>321500</v>
      </c>
      <c r="E680" s="1">
        <f>MAX(Table1[[#This Row],[earned income for EITC]:[Agi For Eitc Calc]])</f>
        <v>321500</v>
      </c>
      <c r="F680" s="1">
        <f>Table1[[#This Row],[taxable wages]]+interest+dividends+short_term_capital_gains+long_term_capital_gains-(trad_ira_contributions+MIN(student_loan_interest_cap,student_loan_interest))</f>
        <v>321500</v>
      </c>
      <c r="G680" s="1">
        <f t="shared" si="58"/>
        <v>12600</v>
      </c>
      <c r="H680" s="1">
        <f t="shared" si="59"/>
        <v>28350</v>
      </c>
      <c r="I680" s="1">
        <f>MAX(0,Table1[[#This Row],[Agi]]-Table1[[#This Row],[Exemptions]]-Table1[[#This Row],[Effective Deductions]])</f>
        <v>280550</v>
      </c>
      <c r="J68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67994.5</v>
      </c>
      <c r="K680" s="1">
        <f t="shared" si="60"/>
        <v>5000</v>
      </c>
      <c r="L680" s="1">
        <f>IF(Table1[[#This Row],[Agi]]&gt;ctc_phase_out_begins,ctc_phase_out_rate*(Table1[[#This Row],[Agi]]-ctc_phase_out_begins),0)</f>
        <v>10575</v>
      </c>
      <c r="M680" s="1">
        <f>MAX(Table1[[#This Row],[Child Tax Credit]]-Table1[[#This Row],[Child Tax Credit Phase Out]],0)</f>
        <v>0</v>
      </c>
      <c r="N680" s="1">
        <f>MAX(Table1[[#This Row],[Regular Taxes Owed]]-Table1[[#This Row],[Effective Child Tax Credit]],0)</f>
        <v>67994.5</v>
      </c>
      <c r="O680" s="1">
        <f>MAX(MIN((Table1[[#This Row],[taxable wages]]-3000)*0.15,1000*num_kids_16_younger),0)</f>
        <v>5000</v>
      </c>
      <c r="P680" s="9">
        <f>IF(Table1[[#This Row],[Effective Child Tax Credit]]&gt;Table1[[#This Row],[Regular Taxes Owed]],Table1[[#This Row],[Additional Child Tax Credit ]]-Table1[[#This Row],[Regular Taxes Owed]],0)</f>
        <v>0</v>
      </c>
      <c r="Q68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0" s="1">
        <f>Table1[[#This Row],[Effective Additional Child Tax Credit]]+Table1[[#This Row],[Eitc]]</f>
        <v>0</v>
      </c>
      <c r="S680" s="9">
        <f>Table1[[#This Row],[Regular Taxes Owed - Effective Child Tax Credit]]-Table1[[#This Row],[Total Credits]]</f>
        <v>67994.5</v>
      </c>
      <c r="T680" s="9">
        <f>Table1[[#This Row],[taxable wages]]+interest+dividends+short_term_capital_gains+long_term_capital_gains-(charitable_donations+mortgage_interest)</f>
        <v>321500</v>
      </c>
      <c r="U680" s="9">
        <f>MAX(amt_exemption-amt_exemption_phase_out_rate*MAX(Table1[[#This Row],[taxable wages]]-amt_phase_out_begins,0),0)</f>
        <v>43350</v>
      </c>
      <c r="V68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74156</v>
      </c>
      <c r="W680" s="1">
        <f>IF(AND(Table1[[#This Row],[AMT Taxes]]&gt;Table1[[#This Row],[Regular Taxes Owed]],Table1[[#This Row],[AMT Taxes]]&gt;0),Table1[[#This Row],[AMT Taxes]]-Table1[[#This Row],[Regular Taxes Owed]],0)</f>
        <v>6161.5</v>
      </c>
      <c r="X680" s="9">
        <f>Table1[[#This Row],[Extra Taxes From Amt]]+Table1[[#This Row],[Federal Taxes Owed (No AMT)]]</f>
        <v>74156</v>
      </c>
      <c r="Y680" s="9">
        <f>IF(Table1[[#This Row],[taxable wages]]&gt;obamacare_surcharge_amount,obamacare_surcharge_percent*(Table1[[#This Row],[taxable wages]]-obamacare_surcharge_amount),0)</f>
        <v>643.5</v>
      </c>
      <c r="Z680" s="9">
        <f>Table1[[#This Row],[Federal Taxes Owed (Includes AMT)]]+Table1[[#This Row],[Obamacare surcharge premium]]</f>
        <v>74799.5</v>
      </c>
      <c r="AA680" s="9">
        <f>Table1[[#This Row],[taxable wages]]-Table1[[#This Row],[Federal Taxes Owed2]]</f>
        <v>246700.5</v>
      </c>
      <c r="AB680" s="51">
        <f t="shared" si="61"/>
        <v>0.35899999999999999</v>
      </c>
      <c r="AC680" s="41"/>
      <c r="AD680" s="13"/>
      <c r="AE680" s="13"/>
    </row>
    <row r="681" spans="2:31" x14ac:dyDescent="0.3">
      <c r="B681" s="41">
        <f t="shared" si="62"/>
        <v>322000</v>
      </c>
      <c r="C681" s="1">
        <f>Table1[[#This Row],[taxable wages]]</f>
        <v>322000</v>
      </c>
      <c r="D681" s="1">
        <f>Table1[[#This Row],[taxable wages]]+interest+dividends+short_term_capital_gains+long_term_capital_gains</f>
        <v>322000</v>
      </c>
      <c r="E681" s="1">
        <f>MAX(Table1[[#This Row],[earned income for EITC]:[Agi For Eitc Calc]])</f>
        <v>322000</v>
      </c>
      <c r="F681" s="1">
        <f>Table1[[#This Row],[taxable wages]]+interest+dividends+short_term_capital_gains+long_term_capital_gains-(trad_ira_contributions+MIN(student_loan_interest_cap,student_loan_interest))</f>
        <v>322000</v>
      </c>
      <c r="G681" s="1">
        <f t="shared" si="58"/>
        <v>12600</v>
      </c>
      <c r="H681" s="1">
        <f t="shared" si="59"/>
        <v>28350</v>
      </c>
      <c r="I681" s="1">
        <f>MAX(0,Table1[[#This Row],[Agi]]-Table1[[#This Row],[Exemptions]]-Table1[[#This Row],[Effective Deductions]])</f>
        <v>281050</v>
      </c>
      <c r="J68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68159.5</v>
      </c>
      <c r="K681" s="1">
        <f t="shared" si="60"/>
        <v>5000</v>
      </c>
      <c r="L681" s="1">
        <f>IF(Table1[[#This Row],[Agi]]&gt;ctc_phase_out_begins,ctc_phase_out_rate*(Table1[[#This Row],[Agi]]-ctc_phase_out_begins),0)</f>
        <v>10600</v>
      </c>
      <c r="M681" s="1">
        <f>MAX(Table1[[#This Row],[Child Tax Credit]]-Table1[[#This Row],[Child Tax Credit Phase Out]],0)</f>
        <v>0</v>
      </c>
      <c r="N681" s="1">
        <f>MAX(Table1[[#This Row],[Regular Taxes Owed]]-Table1[[#This Row],[Effective Child Tax Credit]],0)</f>
        <v>68159.5</v>
      </c>
      <c r="O681" s="1">
        <f>MAX(MIN((Table1[[#This Row],[taxable wages]]-3000)*0.15,1000*num_kids_16_younger),0)</f>
        <v>5000</v>
      </c>
      <c r="P681" s="9">
        <f>IF(Table1[[#This Row],[Effective Child Tax Credit]]&gt;Table1[[#This Row],[Regular Taxes Owed]],Table1[[#This Row],[Additional Child Tax Credit ]]-Table1[[#This Row],[Regular Taxes Owed]],0)</f>
        <v>0</v>
      </c>
      <c r="Q68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1" s="1">
        <f>Table1[[#This Row],[Effective Additional Child Tax Credit]]+Table1[[#This Row],[Eitc]]</f>
        <v>0</v>
      </c>
      <c r="S681" s="9">
        <f>Table1[[#This Row],[Regular Taxes Owed - Effective Child Tax Credit]]-Table1[[#This Row],[Total Credits]]</f>
        <v>68159.5</v>
      </c>
      <c r="T681" s="9">
        <f>Table1[[#This Row],[taxable wages]]+interest+dividends+short_term_capital_gains+long_term_capital_gains-(charitable_donations+mortgage_interest)</f>
        <v>322000</v>
      </c>
      <c r="U681" s="9">
        <f>MAX(amt_exemption-amt_exemption_phase_out_rate*MAX(Table1[[#This Row],[taxable wages]]-amt_phase_out_begins,0),0)</f>
        <v>43225</v>
      </c>
      <c r="V68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74331</v>
      </c>
      <c r="W681" s="1">
        <f>IF(AND(Table1[[#This Row],[AMT Taxes]]&gt;Table1[[#This Row],[Regular Taxes Owed]],Table1[[#This Row],[AMT Taxes]]&gt;0),Table1[[#This Row],[AMT Taxes]]-Table1[[#This Row],[Regular Taxes Owed]],0)</f>
        <v>6171.5</v>
      </c>
      <c r="X681" s="9">
        <f>Table1[[#This Row],[Extra Taxes From Amt]]+Table1[[#This Row],[Federal Taxes Owed (No AMT)]]</f>
        <v>74331</v>
      </c>
      <c r="Y681" s="9">
        <f>IF(Table1[[#This Row],[taxable wages]]&gt;obamacare_surcharge_amount,obamacare_surcharge_percent*(Table1[[#This Row],[taxable wages]]-obamacare_surcharge_amount),0)</f>
        <v>648</v>
      </c>
      <c r="Z681" s="9">
        <f>Table1[[#This Row],[Federal Taxes Owed (Includes AMT)]]+Table1[[#This Row],[Obamacare surcharge premium]]</f>
        <v>74979</v>
      </c>
      <c r="AA681" s="9">
        <f>Table1[[#This Row],[taxable wages]]-Table1[[#This Row],[Federal Taxes Owed2]]</f>
        <v>247021</v>
      </c>
      <c r="AB681" s="51">
        <f t="shared" si="61"/>
        <v>0.35899999999999999</v>
      </c>
      <c r="AC681" s="41"/>
      <c r="AD681" s="13"/>
      <c r="AE681" s="13"/>
    </row>
    <row r="682" spans="2:31" x14ac:dyDescent="0.3">
      <c r="B682" s="41">
        <f t="shared" si="62"/>
        <v>322500</v>
      </c>
      <c r="C682" s="1">
        <f>Table1[[#This Row],[taxable wages]]</f>
        <v>322500</v>
      </c>
      <c r="D682" s="1">
        <f>Table1[[#This Row],[taxable wages]]+interest+dividends+short_term_capital_gains+long_term_capital_gains</f>
        <v>322500</v>
      </c>
      <c r="E682" s="1">
        <f>MAX(Table1[[#This Row],[earned income for EITC]:[Agi For Eitc Calc]])</f>
        <v>322500</v>
      </c>
      <c r="F682" s="1">
        <f>Table1[[#This Row],[taxable wages]]+interest+dividends+short_term_capital_gains+long_term_capital_gains-(trad_ira_contributions+MIN(student_loan_interest_cap,student_loan_interest))</f>
        <v>322500</v>
      </c>
      <c r="G682" s="1">
        <f t="shared" si="58"/>
        <v>12600</v>
      </c>
      <c r="H682" s="1">
        <f t="shared" si="59"/>
        <v>28350</v>
      </c>
      <c r="I682" s="1">
        <f>MAX(0,Table1[[#This Row],[Agi]]-Table1[[#This Row],[Exemptions]]-Table1[[#This Row],[Effective Deductions]])</f>
        <v>281550</v>
      </c>
      <c r="J68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68324.5</v>
      </c>
      <c r="K682" s="1">
        <f t="shared" si="60"/>
        <v>5000</v>
      </c>
      <c r="L682" s="1">
        <f>IF(Table1[[#This Row],[Agi]]&gt;ctc_phase_out_begins,ctc_phase_out_rate*(Table1[[#This Row],[Agi]]-ctc_phase_out_begins),0)</f>
        <v>10625</v>
      </c>
      <c r="M682" s="1">
        <f>MAX(Table1[[#This Row],[Child Tax Credit]]-Table1[[#This Row],[Child Tax Credit Phase Out]],0)</f>
        <v>0</v>
      </c>
      <c r="N682" s="1">
        <f>MAX(Table1[[#This Row],[Regular Taxes Owed]]-Table1[[#This Row],[Effective Child Tax Credit]],0)</f>
        <v>68324.5</v>
      </c>
      <c r="O682" s="1">
        <f>MAX(MIN((Table1[[#This Row],[taxable wages]]-3000)*0.15,1000*num_kids_16_younger),0)</f>
        <v>5000</v>
      </c>
      <c r="P682" s="9">
        <f>IF(Table1[[#This Row],[Effective Child Tax Credit]]&gt;Table1[[#This Row],[Regular Taxes Owed]],Table1[[#This Row],[Additional Child Tax Credit ]]-Table1[[#This Row],[Regular Taxes Owed]],0)</f>
        <v>0</v>
      </c>
      <c r="Q68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2" s="1">
        <f>Table1[[#This Row],[Effective Additional Child Tax Credit]]+Table1[[#This Row],[Eitc]]</f>
        <v>0</v>
      </c>
      <c r="S682" s="9">
        <f>Table1[[#This Row],[Regular Taxes Owed - Effective Child Tax Credit]]-Table1[[#This Row],[Total Credits]]</f>
        <v>68324.5</v>
      </c>
      <c r="T682" s="9">
        <f>Table1[[#This Row],[taxable wages]]+interest+dividends+short_term_capital_gains+long_term_capital_gains-(charitable_donations+mortgage_interest)</f>
        <v>322500</v>
      </c>
      <c r="U682" s="9">
        <f>MAX(amt_exemption-amt_exemption_phase_out_rate*MAX(Table1[[#This Row],[taxable wages]]-amt_phase_out_begins,0),0)</f>
        <v>43100</v>
      </c>
      <c r="V68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74506</v>
      </c>
      <c r="W682" s="1">
        <f>IF(AND(Table1[[#This Row],[AMT Taxes]]&gt;Table1[[#This Row],[Regular Taxes Owed]],Table1[[#This Row],[AMT Taxes]]&gt;0),Table1[[#This Row],[AMT Taxes]]-Table1[[#This Row],[Regular Taxes Owed]],0)</f>
        <v>6181.5</v>
      </c>
      <c r="X682" s="9">
        <f>Table1[[#This Row],[Extra Taxes From Amt]]+Table1[[#This Row],[Federal Taxes Owed (No AMT)]]</f>
        <v>74506</v>
      </c>
      <c r="Y682" s="9">
        <f>IF(Table1[[#This Row],[taxable wages]]&gt;obamacare_surcharge_amount,obamacare_surcharge_percent*(Table1[[#This Row],[taxable wages]]-obamacare_surcharge_amount),0)</f>
        <v>652.5</v>
      </c>
      <c r="Z682" s="9">
        <f>Table1[[#This Row],[Federal Taxes Owed (Includes AMT)]]+Table1[[#This Row],[Obamacare surcharge premium]]</f>
        <v>75158.5</v>
      </c>
      <c r="AA682" s="9">
        <f>Table1[[#This Row],[taxable wages]]-Table1[[#This Row],[Federal Taxes Owed2]]</f>
        <v>247341.5</v>
      </c>
      <c r="AB682" s="51">
        <f t="shared" si="61"/>
        <v>0.35899999999999999</v>
      </c>
      <c r="AC682" s="41"/>
      <c r="AD682" s="13"/>
      <c r="AE682" s="13"/>
    </row>
    <row r="683" spans="2:31" x14ac:dyDescent="0.3">
      <c r="B683" s="41">
        <f t="shared" si="62"/>
        <v>323000</v>
      </c>
      <c r="C683" s="1">
        <f>Table1[[#This Row],[taxable wages]]</f>
        <v>323000</v>
      </c>
      <c r="D683" s="1">
        <f>Table1[[#This Row],[taxable wages]]+interest+dividends+short_term_capital_gains+long_term_capital_gains</f>
        <v>323000</v>
      </c>
      <c r="E683" s="1">
        <f>MAX(Table1[[#This Row],[earned income for EITC]:[Agi For Eitc Calc]])</f>
        <v>323000</v>
      </c>
      <c r="F683" s="1">
        <f>Table1[[#This Row],[taxable wages]]+interest+dividends+short_term_capital_gains+long_term_capital_gains-(trad_ira_contributions+MIN(student_loan_interest_cap,student_loan_interest))</f>
        <v>323000</v>
      </c>
      <c r="G683" s="1">
        <f t="shared" si="58"/>
        <v>12600</v>
      </c>
      <c r="H683" s="1">
        <f t="shared" si="59"/>
        <v>28350</v>
      </c>
      <c r="I683" s="1">
        <f>MAX(0,Table1[[#This Row],[Agi]]-Table1[[#This Row],[Exemptions]]-Table1[[#This Row],[Effective Deductions]])</f>
        <v>282050</v>
      </c>
      <c r="J68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68489.5</v>
      </c>
      <c r="K683" s="1">
        <f t="shared" si="60"/>
        <v>5000</v>
      </c>
      <c r="L683" s="1">
        <f>IF(Table1[[#This Row],[Agi]]&gt;ctc_phase_out_begins,ctc_phase_out_rate*(Table1[[#This Row],[Agi]]-ctc_phase_out_begins),0)</f>
        <v>10650</v>
      </c>
      <c r="M683" s="1">
        <f>MAX(Table1[[#This Row],[Child Tax Credit]]-Table1[[#This Row],[Child Tax Credit Phase Out]],0)</f>
        <v>0</v>
      </c>
      <c r="N683" s="1">
        <f>MAX(Table1[[#This Row],[Regular Taxes Owed]]-Table1[[#This Row],[Effective Child Tax Credit]],0)</f>
        <v>68489.5</v>
      </c>
      <c r="O683" s="1">
        <f>MAX(MIN((Table1[[#This Row],[taxable wages]]-3000)*0.15,1000*num_kids_16_younger),0)</f>
        <v>5000</v>
      </c>
      <c r="P683" s="9">
        <f>IF(Table1[[#This Row],[Effective Child Tax Credit]]&gt;Table1[[#This Row],[Regular Taxes Owed]],Table1[[#This Row],[Additional Child Tax Credit ]]-Table1[[#This Row],[Regular Taxes Owed]],0)</f>
        <v>0</v>
      </c>
      <c r="Q68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3" s="1">
        <f>Table1[[#This Row],[Effective Additional Child Tax Credit]]+Table1[[#This Row],[Eitc]]</f>
        <v>0</v>
      </c>
      <c r="S683" s="9">
        <f>Table1[[#This Row],[Regular Taxes Owed - Effective Child Tax Credit]]-Table1[[#This Row],[Total Credits]]</f>
        <v>68489.5</v>
      </c>
      <c r="T683" s="9">
        <f>Table1[[#This Row],[taxable wages]]+interest+dividends+short_term_capital_gains+long_term_capital_gains-(charitable_donations+mortgage_interest)</f>
        <v>323000</v>
      </c>
      <c r="U683" s="9">
        <f>MAX(amt_exemption-amt_exemption_phase_out_rate*MAX(Table1[[#This Row],[taxable wages]]-amt_phase_out_begins,0),0)</f>
        <v>42975</v>
      </c>
      <c r="V68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74681</v>
      </c>
      <c r="W683" s="1">
        <f>IF(AND(Table1[[#This Row],[AMT Taxes]]&gt;Table1[[#This Row],[Regular Taxes Owed]],Table1[[#This Row],[AMT Taxes]]&gt;0),Table1[[#This Row],[AMT Taxes]]-Table1[[#This Row],[Regular Taxes Owed]],0)</f>
        <v>6191.5</v>
      </c>
      <c r="X683" s="9">
        <f>Table1[[#This Row],[Extra Taxes From Amt]]+Table1[[#This Row],[Federal Taxes Owed (No AMT)]]</f>
        <v>74681</v>
      </c>
      <c r="Y683" s="9">
        <f>IF(Table1[[#This Row],[taxable wages]]&gt;obamacare_surcharge_amount,obamacare_surcharge_percent*(Table1[[#This Row],[taxable wages]]-obamacare_surcharge_amount),0)</f>
        <v>657</v>
      </c>
      <c r="Z683" s="9">
        <f>Table1[[#This Row],[Federal Taxes Owed (Includes AMT)]]+Table1[[#This Row],[Obamacare surcharge premium]]</f>
        <v>75338</v>
      </c>
      <c r="AA683" s="9">
        <f>Table1[[#This Row],[taxable wages]]-Table1[[#This Row],[Federal Taxes Owed2]]</f>
        <v>247662</v>
      </c>
      <c r="AB683" s="51">
        <f t="shared" si="61"/>
        <v>0.35899999999999999</v>
      </c>
      <c r="AC683" s="41"/>
      <c r="AD683" s="13"/>
      <c r="AE683" s="13"/>
    </row>
    <row r="684" spans="2:31" x14ac:dyDescent="0.3">
      <c r="B684" s="41">
        <f t="shared" si="62"/>
        <v>323500</v>
      </c>
      <c r="C684" s="1">
        <f>Table1[[#This Row],[taxable wages]]</f>
        <v>323500</v>
      </c>
      <c r="D684" s="1">
        <f>Table1[[#This Row],[taxable wages]]+interest+dividends+short_term_capital_gains+long_term_capital_gains</f>
        <v>323500</v>
      </c>
      <c r="E684" s="1">
        <f>MAX(Table1[[#This Row],[earned income for EITC]:[Agi For Eitc Calc]])</f>
        <v>323500</v>
      </c>
      <c r="F684" s="1">
        <f>Table1[[#This Row],[taxable wages]]+interest+dividends+short_term_capital_gains+long_term_capital_gains-(trad_ira_contributions+MIN(student_loan_interest_cap,student_loan_interest))</f>
        <v>323500</v>
      </c>
      <c r="G684" s="1">
        <f t="shared" si="58"/>
        <v>12600</v>
      </c>
      <c r="H684" s="1">
        <f t="shared" si="59"/>
        <v>28350</v>
      </c>
      <c r="I684" s="1">
        <f>MAX(0,Table1[[#This Row],[Agi]]-Table1[[#This Row],[Exemptions]]-Table1[[#This Row],[Effective Deductions]])</f>
        <v>282550</v>
      </c>
      <c r="J68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68654.5</v>
      </c>
      <c r="K684" s="1">
        <f t="shared" si="60"/>
        <v>5000</v>
      </c>
      <c r="L684" s="1">
        <f>IF(Table1[[#This Row],[Agi]]&gt;ctc_phase_out_begins,ctc_phase_out_rate*(Table1[[#This Row],[Agi]]-ctc_phase_out_begins),0)</f>
        <v>10675</v>
      </c>
      <c r="M684" s="1">
        <f>MAX(Table1[[#This Row],[Child Tax Credit]]-Table1[[#This Row],[Child Tax Credit Phase Out]],0)</f>
        <v>0</v>
      </c>
      <c r="N684" s="1">
        <f>MAX(Table1[[#This Row],[Regular Taxes Owed]]-Table1[[#This Row],[Effective Child Tax Credit]],0)</f>
        <v>68654.5</v>
      </c>
      <c r="O684" s="1">
        <f>MAX(MIN((Table1[[#This Row],[taxable wages]]-3000)*0.15,1000*num_kids_16_younger),0)</f>
        <v>5000</v>
      </c>
      <c r="P684" s="9">
        <f>IF(Table1[[#This Row],[Effective Child Tax Credit]]&gt;Table1[[#This Row],[Regular Taxes Owed]],Table1[[#This Row],[Additional Child Tax Credit ]]-Table1[[#This Row],[Regular Taxes Owed]],0)</f>
        <v>0</v>
      </c>
      <c r="Q68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4" s="1">
        <f>Table1[[#This Row],[Effective Additional Child Tax Credit]]+Table1[[#This Row],[Eitc]]</f>
        <v>0</v>
      </c>
      <c r="S684" s="9">
        <f>Table1[[#This Row],[Regular Taxes Owed - Effective Child Tax Credit]]-Table1[[#This Row],[Total Credits]]</f>
        <v>68654.5</v>
      </c>
      <c r="T684" s="9">
        <f>Table1[[#This Row],[taxable wages]]+interest+dividends+short_term_capital_gains+long_term_capital_gains-(charitable_donations+mortgage_interest)</f>
        <v>323500</v>
      </c>
      <c r="U684" s="9">
        <f>MAX(amt_exemption-amt_exemption_phase_out_rate*MAX(Table1[[#This Row],[taxable wages]]-amt_phase_out_begins,0),0)</f>
        <v>42850</v>
      </c>
      <c r="V68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74856</v>
      </c>
      <c r="W684" s="1">
        <f>IF(AND(Table1[[#This Row],[AMT Taxes]]&gt;Table1[[#This Row],[Regular Taxes Owed]],Table1[[#This Row],[AMT Taxes]]&gt;0),Table1[[#This Row],[AMT Taxes]]-Table1[[#This Row],[Regular Taxes Owed]],0)</f>
        <v>6201.5</v>
      </c>
      <c r="X684" s="9">
        <f>Table1[[#This Row],[Extra Taxes From Amt]]+Table1[[#This Row],[Federal Taxes Owed (No AMT)]]</f>
        <v>74856</v>
      </c>
      <c r="Y684" s="9">
        <f>IF(Table1[[#This Row],[taxable wages]]&gt;obamacare_surcharge_amount,obamacare_surcharge_percent*(Table1[[#This Row],[taxable wages]]-obamacare_surcharge_amount),0)</f>
        <v>661.5</v>
      </c>
      <c r="Z684" s="9">
        <f>Table1[[#This Row],[Federal Taxes Owed (Includes AMT)]]+Table1[[#This Row],[Obamacare surcharge premium]]</f>
        <v>75517.5</v>
      </c>
      <c r="AA684" s="9">
        <f>Table1[[#This Row],[taxable wages]]-Table1[[#This Row],[Federal Taxes Owed2]]</f>
        <v>247982.5</v>
      </c>
      <c r="AB684" s="51">
        <f t="shared" si="61"/>
        <v>0.35899999999999999</v>
      </c>
      <c r="AC684" s="41"/>
      <c r="AD684" s="13"/>
      <c r="AE684" s="13"/>
    </row>
    <row r="685" spans="2:31" x14ac:dyDescent="0.3">
      <c r="B685" s="41">
        <f t="shared" si="62"/>
        <v>324000</v>
      </c>
      <c r="C685" s="1">
        <f>Table1[[#This Row],[taxable wages]]</f>
        <v>324000</v>
      </c>
      <c r="D685" s="1">
        <f>Table1[[#This Row],[taxable wages]]+interest+dividends+short_term_capital_gains+long_term_capital_gains</f>
        <v>324000</v>
      </c>
      <c r="E685" s="1">
        <f>MAX(Table1[[#This Row],[earned income for EITC]:[Agi For Eitc Calc]])</f>
        <v>324000</v>
      </c>
      <c r="F685" s="1">
        <f>Table1[[#This Row],[taxable wages]]+interest+dividends+short_term_capital_gains+long_term_capital_gains-(trad_ira_contributions+MIN(student_loan_interest_cap,student_loan_interest))</f>
        <v>324000</v>
      </c>
      <c r="G685" s="1">
        <f t="shared" si="58"/>
        <v>12600</v>
      </c>
      <c r="H685" s="1">
        <f t="shared" si="59"/>
        <v>28350</v>
      </c>
      <c r="I685" s="1">
        <f>MAX(0,Table1[[#This Row],[Agi]]-Table1[[#This Row],[Exemptions]]-Table1[[#This Row],[Effective Deductions]])</f>
        <v>283050</v>
      </c>
      <c r="J68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68819.5</v>
      </c>
      <c r="K685" s="1">
        <f t="shared" si="60"/>
        <v>5000</v>
      </c>
      <c r="L685" s="1">
        <f>IF(Table1[[#This Row],[Agi]]&gt;ctc_phase_out_begins,ctc_phase_out_rate*(Table1[[#This Row],[Agi]]-ctc_phase_out_begins),0)</f>
        <v>10700</v>
      </c>
      <c r="M685" s="1">
        <f>MAX(Table1[[#This Row],[Child Tax Credit]]-Table1[[#This Row],[Child Tax Credit Phase Out]],0)</f>
        <v>0</v>
      </c>
      <c r="N685" s="1">
        <f>MAX(Table1[[#This Row],[Regular Taxes Owed]]-Table1[[#This Row],[Effective Child Tax Credit]],0)</f>
        <v>68819.5</v>
      </c>
      <c r="O685" s="1">
        <f>MAX(MIN((Table1[[#This Row],[taxable wages]]-3000)*0.15,1000*num_kids_16_younger),0)</f>
        <v>5000</v>
      </c>
      <c r="P685" s="9">
        <f>IF(Table1[[#This Row],[Effective Child Tax Credit]]&gt;Table1[[#This Row],[Regular Taxes Owed]],Table1[[#This Row],[Additional Child Tax Credit ]]-Table1[[#This Row],[Regular Taxes Owed]],0)</f>
        <v>0</v>
      </c>
      <c r="Q68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5" s="1">
        <f>Table1[[#This Row],[Effective Additional Child Tax Credit]]+Table1[[#This Row],[Eitc]]</f>
        <v>0</v>
      </c>
      <c r="S685" s="9">
        <f>Table1[[#This Row],[Regular Taxes Owed - Effective Child Tax Credit]]-Table1[[#This Row],[Total Credits]]</f>
        <v>68819.5</v>
      </c>
      <c r="T685" s="9">
        <f>Table1[[#This Row],[taxable wages]]+interest+dividends+short_term_capital_gains+long_term_capital_gains-(charitable_donations+mortgage_interest)</f>
        <v>324000</v>
      </c>
      <c r="U685" s="9">
        <f>MAX(amt_exemption-amt_exemption_phase_out_rate*MAX(Table1[[#This Row],[taxable wages]]-amt_phase_out_begins,0),0)</f>
        <v>42725</v>
      </c>
      <c r="V68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75031</v>
      </c>
      <c r="W685" s="1">
        <f>IF(AND(Table1[[#This Row],[AMT Taxes]]&gt;Table1[[#This Row],[Regular Taxes Owed]],Table1[[#This Row],[AMT Taxes]]&gt;0),Table1[[#This Row],[AMT Taxes]]-Table1[[#This Row],[Regular Taxes Owed]],0)</f>
        <v>6211.5</v>
      </c>
      <c r="X685" s="9">
        <f>Table1[[#This Row],[Extra Taxes From Amt]]+Table1[[#This Row],[Federal Taxes Owed (No AMT)]]</f>
        <v>75031</v>
      </c>
      <c r="Y685" s="9">
        <f>IF(Table1[[#This Row],[taxable wages]]&gt;obamacare_surcharge_amount,obamacare_surcharge_percent*(Table1[[#This Row],[taxable wages]]-obamacare_surcharge_amount),0)</f>
        <v>666</v>
      </c>
      <c r="Z685" s="9">
        <f>Table1[[#This Row],[Federal Taxes Owed (Includes AMT)]]+Table1[[#This Row],[Obamacare surcharge premium]]</f>
        <v>75697</v>
      </c>
      <c r="AA685" s="9">
        <f>Table1[[#This Row],[taxable wages]]-Table1[[#This Row],[Federal Taxes Owed2]]</f>
        <v>248303</v>
      </c>
      <c r="AB685" s="51">
        <f t="shared" si="61"/>
        <v>0.35899999999999999</v>
      </c>
      <c r="AC685" s="41"/>
      <c r="AD685" s="13"/>
      <c r="AE685" s="13"/>
    </row>
    <row r="686" spans="2:31" x14ac:dyDescent="0.3">
      <c r="B686" s="41">
        <f t="shared" si="62"/>
        <v>324500</v>
      </c>
      <c r="C686" s="1">
        <f>Table1[[#This Row],[taxable wages]]</f>
        <v>324500</v>
      </c>
      <c r="D686" s="1">
        <f>Table1[[#This Row],[taxable wages]]+interest+dividends+short_term_capital_gains+long_term_capital_gains</f>
        <v>324500</v>
      </c>
      <c r="E686" s="1">
        <f>MAX(Table1[[#This Row],[earned income for EITC]:[Agi For Eitc Calc]])</f>
        <v>324500</v>
      </c>
      <c r="F686" s="1">
        <f>Table1[[#This Row],[taxable wages]]+interest+dividends+short_term_capital_gains+long_term_capital_gains-(trad_ira_contributions+MIN(student_loan_interest_cap,student_loan_interest))</f>
        <v>324500</v>
      </c>
      <c r="G686" s="1">
        <f t="shared" si="58"/>
        <v>12600</v>
      </c>
      <c r="H686" s="1">
        <f t="shared" si="59"/>
        <v>28350</v>
      </c>
      <c r="I686" s="1">
        <f>MAX(0,Table1[[#This Row],[Agi]]-Table1[[#This Row],[Exemptions]]-Table1[[#This Row],[Effective Deductions]])</f>
        <v>283550</v>
      </c>
      <c r="J68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68984.5</v>
      </c>
      <c r="K686" s="1">
        <f t="shared" si="60"/>
        <v>5000</v>
      </c>
      <c r="L686" s="1">
        <f>IF(Table1[[#This Row],[Agi]]&gt;ctc_phase_out_begins,ctc_phase_out_rate*(Table1[[#This Row],[Agi]]-ctc_phase_out_begins),0)</f>
        <v>10725</v>
      </c>
      <c r="M686" s="1">
        <f>MAX(Table1[[#This Row],[Child Tax Credit]]-Table1[[#This Row],[Child Tax Credit Phase Out]],0)</f>
        <v>0</v>
      </c>
      <c r="N686" s="1">
        <f>MAX(Table1[[#This Row],[Regular Taxes Owed]]-Table1[[#This Row],[Effective Child Tax Credit]],0)</f>
        <v>68984.5</v>
      </c>
      <c r="O686" s="1">
        <f>MAX(MIN((Table1[[#This Row],[taxable wages]]-3000)*0.15,1000*num_kids_16_younger),0)</f>
        <v>5000</v>
      </c>
      <c r="P686" s="9">
        <f>IF(Table1[[#This Row],[Effective Child Tax Credit]]&gt;Table1[[#This Row],[Regular Taxes Owed]],Table1[[#This Row],[Additional Child Tax Credit ]]-Table1[[#This Row],[Regular Taxes Owed]],0)</f>
        <v>0</v>
      </c>
      <c r="Q68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6" s="1">
        <f>Table1[[#This Row],[Effective Additional Child Tax Credit]]+Table1[[#This Row],[Eitc]]</f>
        <v>0</v>
      </c>
      <c r="S686" s="9">
        <f>Table1[[#This Row],[Regular Taxes Owed - Effective Child Tax Credit]]-Table1[[#This Row],[Total Credits]]</f>
        <v>68984.5</v>
      </c>
      <c r="T686" s="9">
        <f>Table1[[#This Row],[taxable wages]]+interest+dividends+short_term_capital_gains+long_term_capital_gains-(charitable_donations+mortgage_interest)</f>
        <v>324500</v>
      </c>
      <c r="U686" s="9">
        <f>MAX(amt_exemption-amt_exemption_phase_out_rate*MAX(Table1[[#This Row],[taxable wages]]-amt_phase_out_begins,0),0)</f>
        <v>42600</v>
      </c>
      <c r="V68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75206</v>
      </c>
      <c r="W686" s="1">
        <f>IF(AND(Table1[[#This Row],[AMT Taxes]]&gt;Table1[[#This Row],[Regular Taxes Owed]],Table1[[#This Row],[AMT Taxes]]&gt;0),Table1[[#This Row],[AMT Taxes]]-Table1[[#This Row],[Regular Taxes Owed]],0)</f>
        <v>6221.5</v>
      </c>
      <c r="X686" s="9">
        <f>Table1[[#This Row],[Extra Taxes From Amt]]+Table1[[#This Row],[Federal Taxes Owed (No AMT)]]</f>
        <v>75206</v>
      </c>
      <c r="Y686" s="9">
        <f>IF(Table1[[#This Row],[taxable wages]]&gt;obamacare_surcharge_amount,obamacare_surcharge_percent*(Table1[[#This Row],[taxable wages]]-obamacare_surcharge_amount),0)</f>
        <v>670.5</v>
      </c>
      <c r="Z686" s="9">
        <f>Table1[[#This Row],[Federal Taxes Owed (Includes AMT)]]+Table1[[#This Row],[Obamacare surcharge premium]]</f>
        <v>75876.5</v>
      </c>
      <c r="AA686" s="9">
        <f>Table1[[#This Row],[taxable wages]]-Table1[[#This Row],[Federal Taxes Owed2]]</f>
        <v>248623.5</v>
      </c>
      <c r="AB686" s="51">
        <f t="shared" si="61"/>
        <v>0.35899999999999999</v>
      </c>
      <c r="AC686" s="41"/>
      <c r="AD686" s="13"/>
      <c r="AE686" s="13"/>
    </row>
    <row r="687" spans="2:31" x14ac:dyDescent="0.3">
      <c r="B687" s="41">
        <f t="shared" si="62"/>
        <v>325000</v>
      </c>
      <c r="C687" s="1">
        <f>Table1[[#This Row],[taxable wages]]</f>
        <v>325000</v>
      </c>
      <c r="D687" s="1">
        <f>Table1[[#This Row],[taxable wages]]+interest+dividends+short_term_capital_gains+long_term_capital_gains</f>
        <v>325000</v>
      </c>
      <c r="E687" s="1">
        <f>MAX(Table1[[#This Row],[earned income for EITC]:[Agi For Eitc Calc]])</f>
        <v>325000</v>
      </c>
      <c r="F687" s="1">
        <f>Table1[[#This Row],[taxable wages]]+interest+dividends+short_term_capital_gains+long_term_capital_gains-(trad_ira_contributions+MIN(student_loan_interest_cap,student_loan_interest))</f>
        <v>325000</v>
      </c>
      <c r="G687" s="1">
        <f t="shared" si="58"/>
        <v>12600</v>
      </c>
      <c r="H687" s="1">
        <f t="shared" si="59"/>
        <v>28350</v>
      </c>
      <c r="I687" s="1">
        <f>MAX(0,Table1[[#This Row],[Agi]]-Table1[[#This Row],[Exemptions]]-Table1[[#This Row],[Effective Deductions]])</f>
        <v>284050</v>
      </c>
      <c r="J68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69149.5</v>
      </c>
      <c r="K687" s="1">
        <f t="shared" si="60"/>
        <v>5000</v>
      </c>
      <c r="L687" s="1">
        <f>IF(Table1[[#This Row],[Agi]]&gt;ctc_phase_out_begins,ctc_phase_out_rate*(Table1[[#This Row],[Agi]]-ctc_phase_out_begins),0)</f>
        <v>10750</v>
      </c>
      <c r="M687" s="1">
        <f>MAX(Table1[[#This Row],[Child Tax Credit]]-Table1[[#This Row],[Child Tax Credit Phase Out]],0)</f>
        <v>0</v>
      </c>
      <c r="N687" s="1">
        <f>MAX(Table1[[#This Row],[Regular Taxes Owed]]-Table1[[#This Row],[Effective Child Tax Credit]],0)</f>
        <v>69149.5</v>
      </c>
      <c r="O687" s="1">
        <f>MAX(MIN((Table1[[#This Row],[taxable wages]]-3000)*0.15,1000*num_kids_16_younger),0)</f>
        <v>5000</v>
      </c>
      <c r="P687" s="9">
        <f>IF(Table1[[#This Row],[Effective Child Tax Credit]]&gt;Table1[[#This Row],[Regular Taxes Owed]],Table1[[#This Row],[Additional Child Tax Credit ]]-Table1[[#This Row],[Regular Taxes Owed]],0)</f>
        <v>0</v>
      </c>
      <c r="Q68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7" s="1">
        <f>Table1[[#This Row],[Effective Additional Child Tax Credit]]+Table1[[#This Row],[Eitc]]</f>
        <v>0</v>
      </c>
      <c r="S687" s="9">
        <f>Table1[[#This Row],[Regular Taxes Owed - Effective Child Tax Credit]]-Table1[[#This Row],[Total Credits]]</f>
        <v>69149.5</v>
      </c>
      <c r="T687" s="9">
        <f>Table1[[#This Row],[taxable wages]]+interest+dividends+short_term_capital_gains+long_term_capital_gains-(charitable_donations+mortgage_interest)</f>
        <v>325000</v>
      </c>
      <c r="U687" s="9">
        <f>MAX(amt_exemption-amt_exemption_phase_out_rate*MAX(Table1[[#This Row],[taxable wages]]-amt_phase_out_begins,0),0)</f>
        <v>42475</v>
      </c>
      <c r="V68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75381</v>
      </c>
      <c r="W687" s="1">
        <f>IF(AND(Table1[[#This Row],[AMT Taxes]]&gt;Table1[[#This Row],[Regular Taxes Owed]],Table1[[#This Row],[AMT Taxes]]&gt;0),Table1[[#This Row],[AMT Taxes]]-Table1[[#This Row],[Regular Taxes Owed]],0)</f>
        <v>6231.5</v>
      </c>
      <c r="X687" s="9">
        <f>Table1[[#This Row],[Extra Taxes From Amt]]+Table1[[#This Row],[Federal Taxes Owed (No AMT)]]</f>
        <v>75381</v>
      </c>
      <c r="Y687" s="9">
        <f>IF(Table1[[#This Row],[taxable wages]]&gt;obamacare_surcharge_amount,obamacare_surcharge_percent*(Table1[[#This Row],[taxable wages]]-obamacare_surcharge_amount),0)</f>
        <v>675</v>
      </c>
      <c r="Z687" s="9">
        <f>Table1[[#This Row],[Federal Taxes Owed (Includes AMT)]]+Table1[[#This Row],[Obamacare surcharge premium]]</f>
        <v>76056</v>
      </c>
      <c r="AA687" s="9">
        <f>Table1[[#This Row],[taxable wages]]-Table1[[#This Row],[Federal Taxes Owed2]]</f>
        <v>248944</v>
      </c>
      <c r="AB687" s="51">
        <f t="shared" si="61"/>
        <v>0.35899999999999999</v>
      </c>
      <c r="AC687" s="41"/>
      <c r="AD687" s="13"/>
      <c r="AE687" s="13"/>
    </row>
    <row r="688" spans="2:31" x14ac:dyDescent="0.3">
      <c r="B688" s="41">
        <f t="shared" si="62"/>
        <v>325500</v>
      </c>
      <c r="C688" s="1">
        <f>Table1[[#This Row],[taxable wages]]</f>
        <v>325500</v>
      </c>
      <c r="D688" s="1">
        <f>Table1[[#This Row],[taxable wages]]+interest+dividends+short_term_capital_gains+long_term_capital_gains</f>
        <v>325500</v>
      </c>
      <c r="E688" s="1">
        <f>MAX(Table1[[#This Row],[earned income for EITC]:[Agi For Eitc Calc]])</f>
        <v>325500</v>
      </c>
      <c r="F688" s="1">
        <f>Table1[[#This Row],[taxable wages]]+interest+dividends+short_term_capital_gains+long_term_capital_gains-(trad_ira_contributions+MIN(student_loan_interest_cap,student_loan_interest))</f>
        <v>325500</v>
      </c>
      <c r="G688" s="1">
        <f t="shared" si="58"/>
        <v>12600</v>
      </c>
      <c r="H688" s="1">
        <f t="shared" si="59"/>
        <v>28350</v>
      </c>
      <c r="I688" s="1">
        <f>MAX(0,Table1[[#This Row],[Agi]]-Table1[[#This Row],[Exemptions]]-Table1[[#This Row],[Effective Deductions]])</f>
        <v>284550</v>
      </c>
      <c r="J68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69314.5</v>
      </c>
      <c r="K688" s="1">
        <f t="shared" si="60"/>
        <v>5000</v>
      </c>
      <c r="L688" s="1">
        <f>IF(Table1[[#This Row],[Agi]]&gt;ctc_phase_out_begins,ctc_phase_out_rate*(Table1[[#This Row],[Agi]]-ctc_phase_out_begins),0)</f>
        <v>10775</v>
      </c>
      <c r="M688" s="1">
        <f>MAX(Table1[[#This Row],[Child Tax Credit]]-Table1[[#This Row],[Child Tax Credit Phase Out]],0)</f>
        <v>0</v>
      </c>
      <c r="N688" s="1">
        <f>MAX(Table1[[#This Row],[Regular Taxes Owed]]-Table1[[#This Row],[Effective Child Tax Credit]],0)</f>
        <v>69314.5</v>
      </c>
      <c r="O688" s="1">
        <f>MAX(MIN((Table1[[#This Row],[taxable wages]]-3000)*0.15,1000*num_kids_16_younger),0)</f>
        <v>5000</v>
      </c>
      <c r="P688" s="9">
        <f>IF(Table1[[#This Row],[Effective Child Tax Credit]]&gt;Table1[[#This Row],[Regular Taxes Owed]],Table1[[#This Row],[Additional Child Tax Credit ]]-Table1[[#This Row],[Regular Taxes Owed]],0)</f>
        <v>0</v>
      </c>
      <c r="Q68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8" s="1">
        <f>Table1[[#This Row],[Effective Additional Child Tax Credit]]+Table1[[#This Row],[Eitc]]</f>
        <v>0</v>
      </c>
      <c r="S688" s="9">
        <f>Table1[[#This Row],[Regular Taxes Owed - Effective Child Tax Credit]]-Table1[[#This Row],[Total Credits]]</f>
        <v>69314.5</v>
      </c>
      <c r="T688" s="9">
        <f>Table1[[#This Row],[taxable wages]]+interest+dividends+short_term_capital_gains+long_term_capital_gains-(charitable_donations+mortgage_interest)</f>
        <v>325500</v>
      </c>
      <c r="U688" s="9">
        <f>MAX(amt_exemption-amt_exemption_phase_out_rate*MAX(Table1[[#This Row],[taxable wages]]-amt_phase_out_begins,0),0)</f>
        <v>42350</v>
      </c>
      <c r="V68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75556</v>
      </c>
      <c r="W688" s="1">
        <f>IF(AND(Table1[[#This Row],[AMT Taxes]]&gt;Table1[[#This Row],[Regular Taxes Owed]],Table1[[#This Row],[AMT Taxes]]&gt;0),Table1[[#This Row],[AMT Taxes]]-Table1[[#This Row],[Regular Taxes Owed]],0)</f>
        <v>6241.5</v>
      </c>
      <c r="X688" s="9">
        <f>Table1[[#This Row],[Extra Taxes From Amt]]+Table1[[#This Row],[Federal Taxes Owed (No AMT)]]</f>
        <v>75556</v>
      </c>
      <c r="Y688" s="9">
        <f>IF(Table1[[#This Row],[taxable wages]]&gt;obamacare_surcharge_amount,obamacare_surcharge_percent*(Table1[[#This Row],[taxable wages]]-obamacare_surcharge_amount),0)</f>
        <v>679.5</v>
      </c>
      <c r="Z688" s="9">
        <f>Table1[[#This Row],[Federal Taxes Owed (Includes AMT)]]+Table1[[#This Row],[Obamacare surcharge premium]]</f>
        <v>76235.5</v>
      </c>
      <c r="AA688" s="9">
        <f>Table1[[#This Row],[taxable wages]]-Table1[[#This Row],[Federal Taxes Owed2]]</f>
        <v>249264.5</v>
      </c>
      <c r="AB688" s="51">
        <f t="shared" si="61"/>
        <v>0.35899999999999999</v>
      </c>
      <c r="AC688" s="41"/>
      <c r="AD688" s="13"/>
      <c r="AE688" s="13"/>
    </row>
    <row r="689" spans="2:31" x14ac:dyDescent="0.3">
      <c r="B689" s="41">
        <f t="shared" si="62"/>
        <v>326000</v>
      </c>
      <c r="C689" s="1">
        <f>Table1[[#This Row],[taxable wages]]</f>
        <v>326000</v>
      </c>
      <c r="D689" s="1">
        <f>Table1[[#This Row],[taxable wages]]+interest+dividends+short_term_capital_gains+long_term_capital_gains</f>
        <v>326000</v>
      </c>
      <c r="E689" s="1">
        <f>MAX(Table1[[#This Row],[earned income for EITC]:[Agi For Eitc Calc]])</f>
        <v>326000</v>
      </c>
      <c r="F689" s="1">
        <f>Table1[[#This Row],[taxable wages]]+interest+dividends+short_term_capital_gains+long_term_capital_gains-(trad_ira_contributions+MIN(student_loan_interest_cap,student_loan_interest))</f>
        <v>326000</v>
      </c>
      <c r="G689" s="1">
        <f t="shared" si="58"/>
        <v>12600</v>
      </c>
      <c r="H689" s="1">
        <f t="shared" si="59"/>
        <v>28350</v>
      </c>
      <c r="I689" s="1">
        <f>MAX(0,Table1[[#This Row],[Agi]]-Table1[[#This Row],[Exemptions]]-Table1[[#This Row],[Effective Deductions]])</f>
        <v>285050</v>
      </c>
      <c r="J68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69479.5</v>
      </c>
      <c r="K689" s="1">
        <f t="shared" si="60"/>
        <v>5000</v>
      </c>
      <c r="L689" s="1">
        <f>IF(Table1[[#This Row],[Agi]]&gt;ctc_phase_out_begins,ctc_phase_out_rate*(Table1[[#This Row],[Agi]]-ctc_phase_out_begins),0)</f>
        <v>10800</v>
      </c>
      <c r="M689" s="1">
        <f>MAX(Table1[[#This Row],[Child Tax Credit]]-Table1[[#This Row],[Child Tax Credit Phase Out]],0)</f>
        <v>0</v>
      </c>
      <c r="N689" s="1">
        <f>MAX(Table1[[#This Row],[Regular Taxes Owed]]-Table1[[#This Row],[Effective Child Tax Credit]],0)</f>
        <v>69479.5</v>
      </c>
      <c r="O689" s="1">
        <f>MAX(MIN((Table1[[#This Row],[taxable wages]]-3000)*0.15,1000*num_kids_16_younger),0)</f>
        <v>5000</v>
      </c>
      <c r="P689" s="9">
        <f>IF(Table1[[#This Row],[Effective Child Tax Credit]]&gt;Table1[[#This Row],[Regular Taxes Owed]],Table1[[#This Row],[Additional Child Tax Credit ]]-Table1[[#This Row],[Regular Taxes Owed]],0)</f>
        <v>0</v>
      </c>
      <c r="Q68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89" s="1">
        <f>Table1[[#This Row],[Effective Additional Child Tax Credit]]+Table1[[#This Row],[Eitc]]</f>
        <v>0</v>
      </c>
      <c r="S689" s="9">
        <f>Table1[[#This Row],[Regular Taxes Owed - Effective Child Tax Credit]]-Table1[[#This Row],[Total Credits]]</f>
        <v>69479.5</v>
      </c>
      <c r="T689" s="9">
        <f>Table1[[#This Row],[taxable wages]]+interest+dividends+short_term_capital_gains+long_term_capital_gains-(charitable_donations+mortgage_interest)</f>
        <v>326000</v>
      </c>
      <c r="U689" s="9">
        <f>MAX(amt_exemption-amt_exemption_phase_out_rate*MAX(Table1[[#This Row],[taxable wages]]-amt_phase_out_begins,0),0)</f>
        <v>42225</v>
      </c>
      <c r="V68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75731</v>
      </c>
      <c r="W689" s="1">
        <f>IF(AND(Table1[[#This Row],[AMT Taxes]]&gt;Table1[[#This Row],[Regular Taxes Owed]],Table1[[#This Row],[AMT Taxes]]&gt;0),Table1[[#This Row],[AMT Taxes]]-Table1[[#This Row],[Regular Taxes Owed]],0)</f>
        <v>6251.5</v>
      </c>
      <c r="X689" s="9">
        <f>Table1[[#This Row],[Extra Taxes From Amt]]+Table1[[#This Row],[Federal Taxes Owed (No AMT)]]</f>
        <v>75731</v>
      </c>
      <c r="Y689" s="9">
        <f>IF(Table1[[#This Row],[taxable wages]]&gt;obamacare_surcharge_amount,obamacare_surcharge_percent*(Table1[[#This Row],[taxable wages]]-obamacare_surcharge_amount),0)</f>
        <v>684</v>
      </c>
      <c r="Z689" s="9">
        <f>Table1[[#This Row],[Federal Taxes Owed (Includes AMT)]]+Table1[[#This Row],[Obamacare surcharge premium]]</f>
        <v>76415</v>
      </c>
      <c r="AA689" s="9">
        <f>Table1[[#This Row],[taxable wages]]-Table1[[#This Row],[Federal Taxes Owed2]]</f>
        <v>249585</v>
      </c>
      <c r="AB689" s="51">
        <f t="shared" si="61"/>
        <v>0.35899999999999999</v>
      </c>
      <c r="AC689" s="41"/>
      <c r="AD689" s="13"/>
      <c r="AE689" s="13"/>
    </row>
    <row r="690" spans="2:31" x14ac:dyDescent="0.3">
      <c r="B690" s="41">
        <f t="shared" si="62"/>
        <v>326500</v>
      </c>
      <c r="C690" s="1">
        <f>Table1[[#This Row],[taxable wages]]</f>
        <v>326500</v>
      </c>
      <c r="D690" s="1">
        <f>Table1[[#This Row],[taxable wages]]+interest+dividends+short_term_capital_gains+long_term_capital_gains</f>
        <v>326500</v>
      </c>
      <c r="E690" s="1">
        <f>MAX(Table1[[#This Row],[earned income for EITC]:[Agi For Eitc Calc]])</f>
        <v>326500</v>
      </c>
      <c r="F690" s="1">
        <f>Table1[[#This Row],[taxable wages]]+interest+dividends+short_term_capital_gains+long_term_capital_gains-(trad_ira_contributions+MIN(student_loan_interest_cap,student_loan_interest))</f>
        <v>326500</v>
      </c>
      <c r="G690" s="1">
        <f t="shared" si="58"/>
        <v>12600</v>
      </c>
      <c r="H690" s="1">
        <f t="shared" si="59"/>
        <v>28350</v>
      </c>
      <c r="I690" s="1">
        <f>MAX(0,Table1[[#This Row],[Agi]]-Table1[[#This Row],[Exemptions]]-Table1[[#This Row],[Effective Deductions]])</f>
        <v>285550</v>
      </c>
      <c r="J69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69644.5</v>
      </c>
      <c r="K690" s="1">
        <f t="shared" si="60"/>
        <v>5000</v>
      </c>
      <c r="L690" s="1">
        <f>IF(Table1[[#This Row],[Agi]]&gt;ctc_phase_out_begins,ctc_phase_out_rate*(Table1[[#This Row],[Agi]]-ctc_phase_out_begins),0)</f>
        <v>10825</v>
      </c>
      <c r="M690" s="1">
        <f>MAX(Table1[[#This Row],[Child Tax Credit]]-Table1[[#This Row],[Child Tax Credit Phase Out]],0)</f>
        <v>0</v>
      </c>
      <c r="N690" s="1">
        <f>MAX(Table1[[#This Row],[Regular Taxes Owed]]-Table1[[#This Row],[Effective Child Tax Credit]],0)</f>
        <v>69644.5</v>
      </c>
      <c r="O690" s="1">
        <f>MAX(MIN((Table1[[#This Row],[taxable wages]]-3000)*0.15,1000*num_kids_16_younger),0)</f>
        <v>5000</v>
      </c>
      <c r="P690" s="9">
        <f>IF(Table1[[#This Row],[Effective Child Tax Credit]]&gt;Table1[[#This Row],[Regular Taxes Owed]],Table1[[#This Row],[Additional Child Tax Credit ]]-Table1[[#This Row],[Regular Taxes Owed]],0)</f>
        <v>0</v>
      </c>
      <c r="Q69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0" s="1">
        <f>Table1[[#This Row],[Effective Additional Child Tax Credit]]+Table1[[#This Row],[Eitc]]</f>
        <v>0</v>
      </c>
      <c r="S690" s="9">
        <f>Table1[[#This Row],[Regular Taxes Owed - Effective Child Tax Credit]]-Table1[[#This Row],[Total Credits]]</f>
        <v>69644.5</v>
      </c>
      <c r="T690" s="9">
        <f>Table1[[#This Row],[taxable wages]]+interest+dividends+short_term_capital_gains+long_term_capital_gains-(charitable_donations+mortgage_interest)</f>
        <v>326500</v>
      </c>
      <c r="U690" s="9">
        <f>MAX(amt_exemption-amt_exemption_phase_out_rate*MAX(Table1[[#This Row],[taxable wages]]-amt_phase_out_begins,0),0)</f>
        <v>42100</v>
      </c>
      <c r="V69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75906</v>
      </c>
      <c r="W690" s="1">
        <f>IF(AND(Table1[[#This Row],[AMT Taxes]]&gt;Table1[[#This Row],[Regular Taxes Owed]],Table1[[#This Row],[AMT Taxes]]&gt;0),Table1[[#This Row],[AMT Taxes]]-Table1[[#This Row],[Regular Taxes Owed]],0)</f>
        <v>6261.5</v>
      </c>
      <c r="X690" s="9">
        <f>Table1[[#This Row],[Extra Taxes From Amt]]+Table1[[#This Row],[Federal Taxes Owed (No AMT)]]</f>
        <v>75906</v>
      </c>
      <c r="Y690" s="9">
        <f>IF(Table1[[#This Row],[taxable wages]]&gt;obamacare_surcharge_amount,obamacare_surcharge_percent*(Table1[[#This Row],[taxable wages]]-obamacare_surcharge_amount),0)</f>
        <v>688.5</v>
      </c>
      <c r="Z690" s="9">
        <f>Table1[[#This Row],[Federal Taxes Owed (Includes AMT)]]+Table1[[#This Row],[Obamacare surcharge premium]]</f>
        <v>76594.5</v>
      </c>
      <c r="AA690" s="9">
        <f>Table1[[#This Row],[taxable wages]]-Table1[[#This Row],[Federal Taxes Owed2]]</f>
        <v>249905.5</v>
      </c>
      <c r="AB690" s="51">
        <f t="shared" si="61"/>
        <v>0.35899999999999999</v>
      </c>
      <c r="AC690" s="41"/>
      <c r="AD690" s="13"/>
      <c r="AE690" s="13"/>
    </row>
    <row r="691" spans="2:31" x14ac:dyDescent="0.3">
      <c r="B691" s="41">
        <f t="shared" si="62"/>
        <v>327000</v>
      </c>
      <c r="C691" s="1">
        <f>Table1[[#This Row],[taxable wages]]</f>
        <v>327000</v>
      </c>
      <c r="D691" s="1">
        <f>Table1[[#This Row],[taxable wages]]+interest+dividends+short_term_capital_gains+long_term_capital_gains</f>
        <v>327000</v>
      </c>
      <c r="E691" s="1">
        <f>MAX(Table1[[#This Row],[earned income for EITC]:[Agi For Eitc Calc]])</f>
        <v>327000</v>
      </c>
      <c r="F691" s="1">
        <f>Table1[[#This Row],[taxable wages]]+interest+dividends+short_term_capital_gains+long_term_capital_gains-(trad_ira_contributions+MIN(student_loan_interest_cap,student_loan_interest))</f>
        <v>327000</v>
      </c>
      <c r="G691" s="1">
        <f t="shared" si="58"/>
        <v>12600</v>
      </c>
      <c r="H691" s="1">
        <f t="shared" si="59"/>
        <v>28350</v>
      </c>
      <c r="I691" s="1">
        <f>MAX(0,Table1[[#This Row],[Agi]]-Table1[[#This Row],[Exemptions]]-Table1[[#This Row],[Effective Deductions]])</f>
        <v>286050</v>
      </c>
      <c r="J69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69809.5</v>
      </c>
      <c r="K691" s="1">
        <f t="shared" si="60"/>
        <v>5000</v>
      </c>
      <c r="L691" s="1">
        <f>IF(Table1[[#This Row],[Agi]]&gt;ctc_phase_out_begins,ctc_phase_out_rate*(Table1[[#This Row],[Agi]]-ctc_phase_out_begins),0)</f>
        <v>10850</v>
      </c>
      <c r="M691" s="1">
        <f>MAX(Table1[[#This Row],[Child Tax Credit]]-Table1[[#This Row],[Child Tax Credit Phase Out]],0)</f>
        <v>0</v>
      </c>
      <c r="N691" s="1">
        <f>MAX(Table1[[#This Row],[Regular Taxes Owed]]-Table1[[#This Row],[Effective Child Tax Credit]],0)</f>
        <v>69809.5</v>
      </c>
      <c r="O691" s="1">
        <f>MAX(MIN((Table1[[#This Row],[taxable wages]]-3000)*0.15,1000*num_kids_16_younger),0)</f>
        <v>5000</v>
      </c>
      <c r="P691" s="9">
        <f>IF(Table1[[#This Row],[Effective Child Tax Credit]]&gt;Table1[[#This Row],[Regular Taxes Owed]],Table1[[#This Row],[Additional Child Tax Credit ]]-Table1[[#This Row],[Regular Taxes Owed]],0)</f>
        <v>0</v>
      </c>
      <c r="Q69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1" s="1">
        <f>Table1[[#This Row],[Effective Additional Child Tax Credit]]+Table1[[#This Row],[Eitc]]</f>
        <v>0</v>
      </c>
      <c r="S691" s="9">
        <f>Table1[[#This Row],[Regular Taxes Owed - Effective Child Tax Credit]]-Table1[[#This Row],[Total Credits]]</f>
        <v>69809.5</v>
      </c>
      <c r="T691" s="9">
        <f>Table1[[#This Row],[taxable wages]]+interest+dividends+short_term_capital_gains+long_term_capital_gains-(charitable_donations+mortgage_interest)</f>
        <v>327000</v>
      </c>
      <c r="U691" s="9">
        <f>MAX(amt_exemption-amt_exemption_phase_out_rate*MAX(Table1[[#This Row],[taxable wages]]-amt_phase_out_begins,0),0)</f>
        <v>41975</v>
      </c>
      <c r="V69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76081</v>
      </c>
      <c r="W691" s="1">
        <f>IF(AND(Table1[[#This Row],[AMT Taxes]]&gt;Table1[[#This Row],[Regular Taxes Owed]],Table1[[#This Row],[AMT Taxes]]&gt;0),Table1[[#This Row],[AMT Taxes]]-Table1[[#This Row],[Regular Taxes Owed]],0)</f>
        <v>6271.5</v>
      </c>
      <c r="X691" s="9">
        <f>Table1[[#This Row],[Extra Taxes From Amt]]+Table1[[#This Row],[Federal Taxes Owed (No AMT)]]</f>
        <v>76081</v>
      </c>
      <c r="Y691" s="9">
        <f>IF(Table1[[#This Row],[taxable wages]]&gt;obamacare_surcharge_amount,obamacare_surcharge_percent*(Table1[[#This Row],[taxable wages]]-obamacare_surcharge_amount),0)</f>
        <v>693</v>
      </c>
      <c r="Z691" s="9">
        <f>Table1[[#This Row],[Federal Taxes Owed (Includes AMT)]]+Table1[[#This Row],[Obamacare surcharge premium]]</f>
        <v>76774</v>
      </c>
      <c r="AA691" s="9">
        <f>Table1[[#This Row],[taxable wages]]-Table1[[#This Row],[Federal Taxes Owed2]]</f>
        <v>250226</v>
      </c>
      <c r="AB691" s="51">
        <f t="shared" si="61"/>
        <v>0.35899999999999999</v>
      </c>
      <c r="AC691" s="41"/>
      <c r="AD691" s="13"/>
      <c r="AE691" s="13"/>
    </row>
    <row r="692" spans="2:31" x14ac:dyDescent="0.3">
      <c r="B692" s="41">
        <f t="shared" si="62"/>
        <v>327500</v>
      </c>
      <c r="C692" s="1">
        <f>Table1[[#This Row],[taxable wages]]</f>
        <v>327500</v>
      </c>
      <c r="D692" s="1">
        <f>Table1[[#This Row],[taxable wages]]+interest+dividends+short_term_capital_gains+long_term_capital_gains</f>
        <v>327500</v>
      </c>
      <c r="E692" s="1">
        <f>MAX(Table1[[#This Row],[earned income for EITC]:[Agi For Eitc Calc]])</f>
        <v>327500</v>
      </c>
      <c r="F692" s="1">
        <f>Table1[[#This Row],[taxable wages]]+interest+dividends+short_term_capital_gains+long_term_capital_gains-(trad_ira_contributions+MIN(student_loan_interest_cap,student_loan_interest))</f>
        <v>327500</v>
      </c>
      <c r="G692" s="1">
        <f t="shared" si="58"/>
        <v>12600</v>
      </c>
      <c r="H692" s="1">
        <f t="shared" si="59"/>
        <v>28350</v>
      </c>
      <c r="I692" s="1">
        <f>MAX(0,Table1[[#This Row],[Agi]]-Table1[[#This Row],[Exemptions]]-Table1[[#This Row],[Effective Deductions]])</f>
        <v>286550</v>
      </c>
      <c r="J69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69974.5</v>
      </c>
      <c r="K692" s="1">
        <f t="shared" si="60"/>
        <v>5000</v>
      </c>
      <c r="L692" s="1">
        <f>IF(Table1[[#This Row],[Agi]]&gt;ctc_phase_out_begins,ctc_phase_out_rate*(Table1[[#This Row],[Agi]]-ctc_phase_out_begins),0)</f>
        <v>10875</v>
      </c>
      <c r="M692" s="1">
        <f>MAX(Table1[[#This Row],[Child Tax Credit]]-Table1[[#This Row],[Child Tax Credit Phase Out]],0)</f>
        <v>0</v>
      </c>
      <c r="N692" s="1">
        <f>MAX(Table1[[#This Row],[Regular Taxes Owed]]-Table1[[#This Row],[Effective Child Tax Credit]],0)</f>
        <v>69974.5</v>
      </c>
      <c r="O692" s="1">
        <f>MAX(MIN((Table1[[#This Row],[taxable wages]]-3000)*0.15,1000*num_kids_16_younger),0)</f>
        <v>5000</v>
      </c>
      <c r="P692" s="9">
        <f>IF(Table1[[#This Row],[Effective Child Tax Credit]]&gt;Table1[[#This Row],[Regular Taxes Owed]],Table1[[#This Row],[Additional Child Tax Credit ]]-Table1[[#This Row],[Regular Taxes Owed]],0)</f>
        <v>0</v>
      </c>
      <c r="Q69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2" s="1">
        <f>Table1[[#This Row],[Effective Additional Child Tax Credit]]+Table1[[#This Row],[Eitc]]</f>
        <v>0</v>
      </c>
      <c r="S692" s="9">
        <f>Table1[[#This Row],[Regular Taxes Owed - Effective Child Tax Credit]]-Table1[[#This Row],[Total Credits]]</f>
        <v>69974.5</v>
      </c>
      <c r="T692" s="9">
        <f>Table1[[#This Row],[taxable wages]]+interest+dividends+short_term_capital_gains+long_term_capital_gains-(charitable_donations+mortgage_interest)</f>
        <v>327500</v>
      </c>
      <c r="U692" s="9">
        <f>MAX(amt_exemption-amt_exemption_phase_out_rate*MAX(Table1[[#This Row],[taxable wages]]-amt_phase_out_begins,0),0)</f>
        <v>41850</v>
      </c>
      <c r="V69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76256</v>
      </c>
      <c r="W692" s="1">
        <f>IF(AND(Table1[[#This Row],[AMT Taxes]]&gt;Table1[[#This Row],[Regular Taxes Owed]],Table1[[#This Row],[AMT Taxes]]&gt;0),Table1[[#This Row],[AMT Taxes]]-Table1[[#This Row],[Regular Taxes Owed]],0)</f>
        <v>6281.5</v>
      </c>
      <c r="X692" s="9">
        <f>Table1[[#This Row],[Extra Taxes From Amt]]+Table1[[#This Row],[Federal Taxes Owed (No AMT)]]</f>
        <v>76256</v>
      </c>
      <c r="Y692" s="9">
        <f>IF(Table1[[#This Row],[taxable wages]]&gt;obamacare_surcharge_amount,obamacare_surcharge_percent*(Table1[[#This Row],[taxable wages]]-obamacare_surcharge_amount),0)</f>
        <v>697.5</v>
      </c>
      <c r="Z692" s="9">
        <f>Table1[[#This Row],[Federal Taxes Owed (Includes AMT)]]+Table1[[#This Row],[Obamacare surcharge premium]]</f>
        <v>76953.5</v>
      </c>
      <c r="AA692" s="9">
        <f>Table1[[#This Row],[taxable wages]]-Table1[[#This Row],[Federal Taxes Owed2]]</f>
        <v>250546.5</v>
      </c>
      <c r="AB692" s="51">
        <f t="shared" si="61"/>
        <v>0.35899999999999999</v>
      </c>
      <c r="AC692" s="41"/>
      <c r="AD692" s="13"/>
      <c r="AE692" s="13"/>
    </row>
    <row r="693" spans="2:31" x14ac:dyDescent="0.3">
      <c r="B693" s="41">
        <f t="shared" si="62"/>
        <v>328000</v>
      </c>
      <c r="C693" s="1">
        <f>Table1[[#This Row],[taxable wages]]</f>
        <v>328000</v>
      </c>
      <c r="D693" s="1">
        <f>Table1[[#This Row],[taxable wages]]+interest+dividends+short_term_capital_gains+long_term_capital_gains</f>
        <v>328000</v>
      </c>
      <c r="E693" s="1">
        <f>MAX(Table1[[#This Row],[earned income for EITC]:[Agi For Eitc Calc]])</f>
        <v>328000</v>
      </c>
      <c r="F693" s="1">
        <f>Table1[[#This Row],[taxable wages]]+interest+dividends+short_term_capital_gains+long_term_capital_gains-(trad_ira_contributions+MIN(student_loan_interest_cap,student_loan_interest))</f>
        <v>328000</v>
      </c>
      <c r="G693" s="1">
        <f t="shared" si="58"/>
        <v>12600</v>
      </c>
      <c r="H693" s="1">
        <f t="shared" si="59"/>
        <v>28350</v>
      </c>
      <c r="I693" s="1">
        <f>MAX(0,Table1[[#This Row],[Agi]]-Table1[[#This Row],[Exemptions]]-Table1[[#This Row],[Effective Deductions]])</f>
        <v>287050</v>
      </c>
      <c r="J69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70139.5</v>
      </c>
      <c r="K693" s="1">
        <f t="shared" si="60"/>
        <v>5000</v>
      </c>
      <c r="L693" s="1">
        <f>IF(Table1[[#This Row],[Agi]]&gt;ctc_phase_out_begins,ctc_phase_out_rate*(Table1[[#This Row],[Agi]]-ctc_phase_out_begins),0)</f>
        <v>10900</v>
      </c>
      <c r="M693" s="1">
        <f>MAX(Table1[[#This Row],[Child Tax Credit]]-Table1[[#This Row],[Child Tax Credit Phase Out]],0)</f>
        <v>0</v>
      </c>
      <c r="N693" s="1">
        <f>MAX(Table1[[#This Row],[Regular Taxes Owed]]-Table1[[#This Row],[Effective Child Tax Credit]],0)</f>
        <v>70139.5</v>
      </c>
      <c r="O693" s="1">
        <f>MAX(MIN((Table1[[#This Row],[taxable wages]]-3000)*0.15,1000*num_kids_16_younger),0)</f>
        <v>5000</v>
      </c>
      <c r="P693" s="9">
        <f>IF(Table1[[#This Row],[Effective Child Tax Credit]]&gt;Table1[[#This Row],[Regular Taxes Owed]],Table1[[#This Row],[Additional Child Tax Credit ]]-Table1[[#This Row],[Regular Taxes Owed]],0)</f>
        <v>0</v>
      </c>
      <c r="Q69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3" s="1">
        <f>Table1[[#This Row],[Effective Additional Child Tax Credit]]+Table1[[#This Row],[Eitc]]</f>
        <v>0</v>
      </c>
      <c r="S693" s="9">
        <f>Table1[[#This Row],[Regular Taxes Owed - Effective Child Tax Credit]]-Table1[[#This Row],[Total Credits]]</f>
        <v>70139.5</v>
      </c>
      <c r="T693" s="9">
        <f>Table1[[#This Row],[taxable wages]]+interest+dividends+short_term_capital_gains+long_term_capital_gains-(charitable_donations+mortgage_interest)</f>
        <v>328000</v>
      </c>
      <c r="U693" s="9">
        <f>MAX(amt_exemption-amt_exemption_phase_out_rate*MAX(Table1[[#This Row],[taxable wages]]-amt_phase_out_begins,0),0)</f>
        <v>41725</v>
      </c>
      <c r="V69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76431</v>
      </c>
      <c r="W693" s="1">
        <f>IF(AND(Table1[[#This Row],[AMT Taxes]]&gt;Table1[[#This Row],[Regular Taxes Owed]],Table1[[#This Row],[AMT Taxes]]&gt;0),Table1[[#This Row],[AMT Taxes]]-Table1[[#This Row],[Regular Taxes Owed]],0)</f>
        <v>6291.5</v>
      </c>
      <c r="X693" s="9">
        <f>Table1[[#This Row],[Extra Taxes From Amt]]+Table1[[#This Row],[Federal Taxes Owed (No AMT)]]</f>
        <v>76431</v>
      </c>
      <c r="Y693" s="9">
        <f>IF(Table1[[#This Row],[taxable wages]]&gt;obamacare_surcharge_amount,obamacare_surcharge_percent*(Table1[[#This Row],[taxable wages]]-obamacare_surcharge_amount),0)</f>
        <v>702</v>
      </c>
      <c r="Z693" s="9">
        <f>Table1[[#This Row],[Federal Taxes Owed (Includes AMT)]]+Table1[[#This Row],[Obamacare surcharge premium]]</f>
        <v>77133</v>
      </c>
      <c r="AA693" s="9">
        <f>Table1[[#This Row],[taxable wages]]-Table1[[#This Row],[Federal Taxes Owed2]]</f>
        <v>250867</v>
      </c>
      <c r="AB693" s="51">
        <f t="shared" si="61"/>
        <v>0.35899999999999999</v>
      </c>
      <c r="AC693" s="41"/>
      <c r="AD693" s="13"/>
      <c r="AE693" s="13"/>
    </row>
    <row r="694" spans="2:31" x14ac:dyDescent="0.3">
      <c r="B694" s="41">
        <f t="shared" si="62"/>
        <v>328500</v>
      </c>
      <c r="C694" s="1">
        <f>Table1[[#This Row],[taxable wages]]</f>
        <v>328500</v>
      </c>
      <c r="D694" s="1">
        <f>Table1[[#This Row],[taxable wages]]+interest+dividends+short_term_capital_gains+long_term_capital_gains</f>
        <v>328500</v>
      </c>
      <c r="E694" s="1">
        <f>MAX(Table1[[#This Row],[earned income for EITC]:[Agi For Eitc Calc]])</f>
        <v>328500</v>
      </c>
      <c r="F694" s="1">
        <f>Table1[[#This Row],[taxable wages]]+interest+dividends+short_term_capital_gains+long_term_capital_gains-(trad_ira_contributions+MIN(student_loan_interest_cap,student_loan_interest))</f>
        <v>328500</v>
      </c>
      <c r="G694" s="1">
        <f t="shared" si="58"/>
        <v>12600</v>
      </c>
      <c r="H694" s="1">
        <f t="shared" si="59"/>
        <v>28350</v>
      </c>
      <c r="I694" s="1">
        <f>MAX(0,Table1[[#This Row],[Agi]]-Table1[[#This Row],[Exemptions]]-Table1[[#This Row],[Effective Deductions]])</f>
        <v>287550</v>
      </c>
      <c r="J69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70304.5</v>
      </c>
      <c r="K694" s="1">
        <f t="shared" si="60"/>
        <v>5000</v>
      </c>
      <c r="L694" s="1">
        <f>IF(Table1[[#This Row],[Agi]]&gt;ctc_phase_out_begins,ctc_phase_out_rate*(Table1[[#This Row],[Agi]]-ctc_phase_out_begins),0)</f>
        <v>10925</v>
      </c>
      <c r="M694" s="1">
        <f>MAX(Table1[[#This Row],[Child Tax Credit]]-Table1[[#This Row],[Child Tax Credit Phase Out]],0)</f>
        <v>0</v>
      </c>
      <c r="N694" s="1">
        <f>MAX(Table1[[#This Row],[Regular Taxes Owed]]-Table1[[#This Row],[Effective Child Tax Credit]],0)</f>
        <v>70304.5</v>
      </c>
      <c r="O694" s="1">
        <f>MAX(MIN((Table1[[#This Row],[taxable wages]]-3000)*0.15,1000*num_kids_16_younger),0)</f>
        <v>5000</v>
      </c>
      <c r="P694" s="9">
        <f>IF(Table1[[#This Row],[Effective Child Tax Credit]]&gt;Table1[[#This Row],[Regular Taxes Owed]],Table1[[#This Row],[Additional Child Tax Credit ]]-Table1[[#This Row],[Regular Taxes Owed]],0)</f>
        <v>0</v>
      </c>
      <c r="Q69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4" s="1">
        <f>Table1[[#This Row],[Effective Additional Child Tax Credit]]+Table1[[#This Row],[Eitc]]</f>
        <v>0</v>
      </c>
      <c r="S694" s="9">
        <f>Table1[[#This Row],[Regular Taxes Owed - Effective Child Tax Credit]]-Table1[[#This Row],[Total Credits]]</f>
        <v>70304.5</v>
      </c>
      <c r="T694" s="9">
        <f>Table1[[#This Row],[taxable wages]]+interest+dividends+short_term_capital_gains+long_term_capital_gains-(charitable_donations+mortgage_interest)</f>
        <v>328500</v>
      </c>
      <c r="U694" s="9">
        <f>MAX(amt_exemption-amt_exemption_phase_out_rate*MAX(Table1[[#This Row],[taxable wages]]-amt_phase_out_begins,0),0)</f>
        <v>41600</v>
      </c>
      <c r="V69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76606</v>
      </c>
      <c r="W694" s="1">
        <f>IF(AND(Table1[[#This Row],[AMT Taxes]]&gt;Table1[[#This Row],[Regular Taxes Owed]],Table1[[#This Row],[AMT Taxes]]&gt;0),Table1[[#This Row],[AMT Taxes]]-Table1[[#This Row],[Regular Taxes Owed]],0)</f>
        <v>6301.5</v>
      </c>
      <c r="X694" s="9">
        <f>Table1[[#This Row],[Extra Taxes From Amt]]+Table1[[#This Row],[Federal Taxes Owed (No AMT)]]</f>
        <v>76606</v>
      </c>
      <c r="Y694" s="9">
        <f>IF(Table1[[#This Row],[taxable wages]]&gt;obamacare_surcharge_amount,obamacare_surcharge_percent*(Table1[[#This Row],[taxable wages]]-obamacare_surcharge_amount),0)</f>
        <v>706.5</v>
      </c>
      <c r="Z694" s="9">
        <f>Table1[[#This Row],[Federal Taxes Owed (Includes AMT)]]+Table1[[#This Row],[Obamacare surcharge premium]]</f>
        <v>77312.5</v>
      </c>
      <c r="AA694" s="9">
        <f>Table1[[#This Row],[taxable wages]]-Table1[[#This Row],[Federal Taxes Owed2]]</f>
        <v>251187.5</v>
      </c>
      <c r="AB694" s="51">
        <f t="shared" si="61"/>
        <v>0.35899999999999999</v>
      </c>
      <c r="AC694" s="41"/>
      <c r="AD694" s="13"/>
      <c r="AE694" s="13"/>
    </row>
    <row r="695" spans="2:31" x14ac:dyDescent="0.3">
      <c r="B695" s="41">
        <f t="shared" si="62"/>
        <v>329000</v>
      </c>
      <c r="C695" s="1">
        <f>Table1[[#This Row],[taxable wages]]</f>
        <v>329000</v>
      </c>
      <c r="D695" s="1">
        <f>Table1[[#This Row],[taxable wages]]+interest+dividends+short_term_capital_gains+long_term_capital_gains</f>
        <v>329000</v>
      </c>
      <c r="E695" s="1">
        <f>MAX(Table1[[#This Row],[earned income for EITC]:[Agi For Eitc Calc]])</f>
        <v>329000</v>
      </c>
      <c r="F695" s="1">
        <f>Table1[[#This Row],[taxable wages]]+interest+dividends+short_term_capital_gains+long_term_capital_gains-(trad_ira_contributions+MIN(student_loan_interest_cap,student_loan_interest))</f>
        <v>329000</v>
      </c>
      <c r="G695" s="1">
        <f t="shared" si="58"/>
        <v>12600</v>
      </c>
      <c r="H695" s="1">
        <f t="shared" si="59"/>
        <v>28350</v>
      </c>
      <c r="I695" s="1">
        <f>MAX(0,Table1[[#This Row],[Agi]]-Table1[[#This Row],[Exemptions]]-Table1[[#This Row],[Effective Deductions]])</f>
        <v>288050</v>
      </c>
      <c r="J69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70469.5</v>
      </c>
      <c r="K695" s="1">
        <f t="shared" si="60"/>
        <v>5000</v>
      </c>
      <c r="L695" s="1">
        <f>IF(Table1[[#This Row],[Agi]]&gt;ctc_phase_out_begins,ctc_phase_out_rate*(Table1[[#This Row],[Agi]]-ctc_phase_out_begins),0)</f>
        <v>10950</v>
      </c>
      <c r="M695" s="1">
        <f>MAX(Table1[[#This Row],[Child Tax Credit]]-Table1[[#This Row],[Child Tax Credit Phase Out]],0)</f>
        <v>0</v>
      </c>
      <c r="N695" s="1">
        <f>MAX(Table1[[#This Row],[Regular Taxes Owed]]-Table1[[#This Row],[Effective Child Tax Credit]],0)</f>
        <v>70469.5</v>
      </c>
      <c r="O695" s="1">
        <f>MAX(MIN((Table1[[#This Row],[taxable wages]]-3000)*0.15,1000*num_kids_16_younger),0)</f>
        <v>5000</v>
      </c>
      <c r="P695" s="9">
        <f>IF(Table1[[#This Row],[Effective Child Tax Credit]]&gt;Table1[[#This Row],[Regular Taxes Owed]],Table1[[#This Row],[Additional Child Tax Credit ]]-Table1[[#This Row],[Regular Taxes Owed]],0)</f>
        <v>0</v>
      </c>
      <c r="Q69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5" s="1">
        <f>Table1[[#This Row],[Effective Additional Child Tax Credit]]+Table1[[#This Row],[Eitc]]</f>
        <v>0</v>
      </c>
      <c r="S695" s="9">
        <f>Table1[[#This Row],[Regular Taxes Owed - Effective Child Tax Credit]]-Table1[[#This Row],[Total Credits]]</f>
        <v>70469.5</v>
      </c>
      <c r="T695" s="9">
        <f>Table1[[#This Row],[taxable wages]]+interest+dividends+short_term_capital_gains+long_term_capital_gains-(charitable_donations+mortgage_interest)</f>
        <v>329000</v>
      </c>
      <c r="U695" s="9">
        <f>MAX(amt_exemption-amt_exemption_phase_out_rate*MAX(Table1[[#This Row],[taxable wages]]-amt_phase_out_begins,0),0)</f>
        <v>41475</v>
      </c>
      <c r="V69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76781</v>
      </c>
      <c r="W695" s="1">
        <f>IF(AND(Table1[[#This Row],[AMT Taxes]]&gt;Table1[[#This Row],[Regular Taxes Owed]],Table1[[#This Row],[AMT Taxes]]&gt;0),Table1[[#This Row],[AMT Taxes]]-Table1[[#This Row],[Regular Taxes Owed]],0)</f>
        <v>6311.5</v>
      </c>
      <c r="X695" s="9">
        <f>Table1[[#This Row],[Extra Taxes From Amt]]+Table1[[#This Row],[Federal Taxes Owed (No AMT)]]</f>
        <v>76781</v>
      </c>
      <c r="Y695" s="9">
        <f>IF(Table1[[#This Row],[taxable wages]]&gt;obamacare_surcharge_amount,obamacare_surcharge_percent*(Table1[[#This Row],[taxable wages]]-obamacare_surcharge_amount),0)</f>
        <v>711</v>
      </c>
      <c r="Z695" s="9">
        <f>Table1[[#This Row],[Federal Taxes Owed (Includes AMT)]]+Table1[[#This Row],[Obamacare surcharge premium]]</f>
        <v>77492</v>
      </c>
      <c r="AA695" s="9">
        <f>Table1[[#This Row],[taxable wages]]-Table1[[#This Row],[Federal Taxes Owed2]]</f>
        <v>251508</v>
      </c>
      <c r="AB695" s="51">
        <f t="shared" si="61"/>
        <v>0.35899999999999999</v>
      </c>
      <c r="AC695" s="41"/>
      <c r="AD695" s="13"/>
      <c r="AE695" s="13"/>
    </row>
    <row r="696" spans="2:31" x14ac:dyDescent="0.3">
      <c r="B696" s="41">
        <f t="shared" si="62"/>
        <v>329500</v>
      </c>
      <c r="C696" s="1">
        <f>Table1[[#This Row],[taxable wages]]</f>
        <v>329500</v>
      </c>
      <c r="D696" s="1">
        <f>Table1[[#This Row],[taxable wages]]+interest+dividends+short_term_capital_gains+long_term_capital_gains</f>
        <v>329500</v>
      </c>
      <c r="E696" s="1">
        <f>MAX(Table1[[#This Row],[earned income for EITC]:[Agi For Eitc Calc]])</f>
        <v>329500</v>
      </c>
      <c r="F696" s="1">
        <f>Table1[[#This Row],[taxable wages]]+interest+dividends+short_term_capital_gains+long_term_capital_gains-(trad_ira_contributions+MIN(student_loan_interest_cap,student_loan_interest))</f>
        <v>329500</v>
      </c>
      <c r="G696" s="1">
        <f t="shared" si="58"/>
        <v>12600</v>
      </c>
      <c r="H696" s="1">
        <f t="shared" si="59"/>
        <v>28350</v>
      </c>
      <c r="I696" s="1">
        <f>MAX(0,Table1[[#This Row],[Agi]]-Table1[[#This Row],[Exemptions]]-Table1[[#This Row],[Effective Deductions]])</f>
        <v>288550</v>
      </c>
      <c r="J69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70634.5</v>
      </c>
      <c r="K696" s="1">
        <f t="shared" si="60"/>
        <v>5000</v>
      </c>
      <c r="L696" s="1">
        <f>IF(Table1[[#This Row],[Agi]]&gt;ctc_phase_out_begins,ctc_phase_out_rate*(Table1[[#This Row],[Agi]]-ctc_phase_out_begins),0)</f>
        <v>10975</v>
      </c>
      <c r="M696" s="1">
        <f>MAX(Table1[[#This Row],[Child Tax Credit]]-Table1[[#This Row],[Child Tax Credit Phase Out]],0)</f>
        <v>0</v>
      </c>
      <c r="N696" s="1">
        <f>MAX(Table1[[#This Row],[Regular Taxes Owed]]-Table1[[#This Row],[Effective Child Tax Credit]],0)</f>
        <v>70634.5</v>
      </c>
      <c r="O696" s="1">
        <f>MAX(MIN((Table1[[#This Row],[taxable wages]]-3000)*0.15,1000*num_kids_16_younger),0)</f>
        <v>5000</v>
      </c>
      <c r="P696" s="9">
        <f>IF(Table1[[#This Row],[Effective Child Tax Credit]]&gt;Table1[[#This Row],[Regular Taxes Owed]],Table1[[#This Row],[Additional Child Tax Credit ]]-Table1[[#This Row],[Regular Taxes Owed]],0)</f>
        <v>0</v>
      </c>
      <c r="Q69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6" s="1">
        <f>Table1[[#This Row],[Effective Additional Child Tax Credit]]+Table1[[#This Row],[Eitc]]</f>
        <v>0</v>
      </c>
      <c r="S696" s="9">
        <f>Table1[[#This Row],[Regular Taxes Owed - Effective Child Tax Credit]]-Table1[[#This Row],[Total Credits]]</f>
        <v>70634.5</v>
      </c>
      <c r="T696" s="9">
        <f>Table1[[#This Row],[taxable wages]]+interest+dividends+short_term_capital_gains+long_term_capital_gains-(charitable_donations+mortgage_interest)</f>
        <v>329500</v>
      </c>
      <c r="U696" s="9">
        <f>MAX(amt_exemption-amt_exemption_phase_out_rate*MAX(Table1[[#This Row],[taxable wages]]-amt_phase_out_begins,0),0)</f>
        <v>41350</v>
      </c>
      <c r="V69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76956</v>
      </c>
      <c r="W696" s="1">
        <f>IF(AND(Table1[[#This Row],[AMT Taxes]]&gt;Table1[[#This Row],[Regular Taxes Owed]],Table1[[#This Row],[AMT Taxes]]&gt;0),Table1[[#This Row],[AMT Taxes]]-Table1[[#This Row],[Regular Taxes Owed]],0)</f>
        <v>6321.5</v>
      </c>
      <c r="X696" s="9">
        <f>Table1[[#This Row],[Extra Taxes From Amt]]+Table1[[#This Row],[Federal Taxes Owed (No AMT)]]</f>
        <v>76956</v>
      </c>
      <c r="Y696" s="9">
        <f>IF(Table1[[#This Row],[taxable wages]]&gt;obamacare_surcharge_amount,obamacare_surcharge_percent*(Table1[[#This Row],[taxable wages]]-obamacare_surcharge_amount),0)</f>
        <v>715.5</v>
      </c>
      <c r="Z696" s="9">
        <f>Table1[[#This Row],[Federal Taxes Owed (Includes AMT)]]+Table1[[#This Row],[Obamacare surcharge premium]]</f>
        <v>77671.5</v>
      </c>
      <c r="AA696" s="9">
        <f>Table1[[#This Row],[taxable wages]]-Table1[[#This Row],[Federal Taxes Owed2]]</f>
        <v>251828.5</v>
      </c>
      <c r="AB696" s="51">
        <f t="shared" si="61"/>
        <v>0.35899999999999999</v>
      </c>
      <c r="AC696" s="41"/>
      <c r="AD696" s="13"/>
      <c r="AE696" s="13"/>
    </row>
    <row r="697" spans="2:31" x14ac:dyDescent="0.3">
      <c r="B697" s="41">
        <f t="shared" si="62"/>
        <v>330000</v>
      </c>
      <c r="C697" s="1">
        <f>Table1[[#This Row],[taxable wages]]</f>
        <v>330000</v>
      </c>
      <c r="D697" s="1">
        <f>Table1[[#This Row],[taxable wages]]+interest+dividends+short_term_capital_gains+long_term_capital_gains</f>
        <v>330000</v>
      </c>
      <c r="E697" s="1">
        <f>MAX(Table1[[#This Row],[earned income for EITC]:[Agi For Eitc Calc]])</f>
        <v>330000</v>
      </c>
      <c r="F697" s="1">
        <f>Table1[[#This Row],[taxable wages]]+interest+dividends+short_term_capital_gains+long_term_capital_gains-(trad_ira_contributions+MIN(student_loan_interest_cap,student_loan_interest))</f>
        <v>330000</v>
      </c>
      <c r="G697" s="1">
        <f t="shared" si="58"/>
        <v>12600</v>
      </c>
      <c r="H697" s="1">
        <f t="shared" si="59"/>
        <v>28350</v>
      </c>
      <c r="I697" s="1">
        <f>MAX(0,Table1[[#This Row],[Agi]]-Table1[[#This Row],[Exemptions]]-Table1[[#This Row],[Effective Deductions]])</f>
        <v>289050</v>
      </c>
      <c r="J69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70799.5</v>
      </c>
      <c r="K697" s="1">
        <f t="shared" si="60"/>
        <v>5000</v>
      </c>
      <c r="L697" s="1">
        <f>IF(Table1[[#This Row],[Agi]]&gt;ctc_phase_out_begins,ctc_phase_out_rate*(Table1[[#This Row],[Agi]]-ctc_phase_out_begins),0)</f>
        <v>11000</v>
      </c>
      <c r="M697" s="1">
        <f>MAX(Table1[[#This Row],[Child Tax Credit]]-Table1[[#This Row],[Child Tax Credit Phase Out]],0)</f>
        <v>0</v>
      </c>
      <c r="N697" s="1">
        <f>MAX(Table1[[#This Row],[Regular Taxes Owed]]-Table1[[#This Row],[Effective Child Tax Credit]],0)</f>
        <v>70799.5</v>
      </c>
      <c r="O697" s="1">
        <f>MAX(MIN((Table1[[#This Row],[taxable wages]]-3000)*0.15,1000*num_kids_16_younger),0)</f>
        <v>5000</v>
      </c>
      <c r="P697" s="9">
        <f>IF(Table1[[#This Row],[Effective Child Tax Credit]]&gt;Table1[[#This Row],[Regular Taxes Owed]],Table1[[#This Row],[Additional Child Tax Credit ]]-Table1[[#This Row],[Regular Taxes Owed]],0)</f>
        <v>0</v>
      </c>
      <c r="Q69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7" s="1">
        <f>Table1[[#This Row],[Effective Additional Child Tax Credit]]+Table1[[#This Row],[Eitc]]</f>
        <v>0</v>
      </c>
      <c r="S697" s="9">
        <f>Table1[[#This Row],[Regular Taxes Owed - Effective Child Tax Credit]]-Table1[[#This Row],[Total Credits]]</f>
        <v>70799.5</v>
      </c>
      <c r="T697" s="9">
        <f>Table1[[#This Row],[taxable wages]]+interest+dividends+short_term_capital_gains+long_term_capital_gains-(charitable_donations+mortgage_interest)</f>
        <v>330000</v>
      </c>
      <c r="U697" s="9">
        <f>MAX(amt_exemption-amt_exemption_phase_out_rate*MAX(Table1[[#This Row],[taxable wages]]-amt_phase_out_begins,0),0)</f>
        <v>41225</v>
      </c>
      <c r="V69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77131</v>
      </c>
      <c r="W697" s="1">
        <f>IF(AND(Table1[[#This Row],[AMT Taxes]]&gt;Table1[[#This Row],[Regular Taxes Owed]],Table1[[#This Row],[AMT Taxes]]&gt;0),Table1[[#This Row],[AMT Taxes]]-Table1[[#This Row],[Regular Taxes Owed]],0)</f>
        <v>6331.5</v>
      </c>
      <c r="X697" s="9">
        <f>Table1[[#This Row],[Extra Taxes From Amt]]+Table1[[#This Row],[Federal Taxes Owed (No AMT)]]</f>
        <v>77131</v>
      </c>
      <c r="Y697" s="9">
        <f>IF(Table1[[#This Row],[taxable wages]]&gt;obamacare_surcharge_amount,obamacare_surcharge_percent*(Table1[[#This Row],[taxable wages]]-obamacare_surcharge_amount),0)</f>
        <v>720</v>
      </c>
      <c r="Z697" s="9">
        <f>Table1[[#This Row],[Federal Taxes Owed (Includes AMT)]]+Table1[[#This Row],[Obamacare surcharge premium]]</f>
        <v>77851</v>
      </c>
      <c r="AA697" s="9">
        <f>Table1[[#This Row],[taxable wages]]-Table1[[#This Row],[Federal Taxes Owed2]]</f>
        <v>252149</v>
      </c>
      <c r="AB697" s="51">
        <f t="shared" si="61"/>
        <v>0.35899999999999999</v>
      </c>
      <c r="AC697" s="41"/>
      <c r="AD697" s="13"/>
      <c r="AE697" s="13"/>
    </row>
    <row r="698" spans="2:31" x14ac:dyDescent="0.3">
      <c r="B698" s="41">
        <f t="shared" si="62"/>
        <v>330500</v>
      </c>
      <c r="C698" s="1">
        <f>Table1[[#This Row],[taxable wages]]</f>
        <v>330500</v>
      </c>
      <c r="D698" s="1">
        <f>Table1[[#This Row],[taxable wages]]+interest+dividends+short_term_capital_gains+long_term_capital_gains</f>
        <v>330500</v>
      </c>
      <c r="E698" s="1">
        <f>MAX(Table1[[#This Row],[earned income for EITC]:[Agi For Eitc Calc]])</f>
        <v>330500</v>
      </c>
      <c r="F698" s="1">
        <f>Table1[[#This Row],[taxable wages]]+interest+dividends+short_term_capital_gains+long_term_capital_gains-(trad_ira_contributions+MIN(student_loan_interest_cap,student_loan_interest))</f>
        <v>330500</v>
      </c>
      <c r="G698" s="1">
        <f t="shared" si="58"/>
        <v>12600</v>
      </c>
      <c r="H698" s="1">
        <f t="shared" si="59"/>
        <v>28350</v>
      </c>
      <c r="I698" s="1">
        <f>MAX(0,Table1[[#This Row],[Agi]]-Table1[[#This Row],[Exemptions]]-Table1[[#This Row],[Effective Deductions]])</f>
        <v>289550</v>
      </c>
      <c r="J69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70964.5</v>
      </c>
      <c r="K698" s="1">
        <f t="shared" si="60"/>
        <v>5000</v>
      </c>
      <c r="L698" s="1">
        <f>IF(Table1[[#This Row],[Agi]]&gt;ctc_phase_out_begins,ctc_phase_out_rate*(Table1[[#This Row],[Agi]]-ctc_phase_out_begins),0)</f>
        <v>11025</v>
      </c>
      <c r="M698" s="1">
        <f>MAX(Table1[[#This Row],[Child Tax Credit]]-Table1[[#This Row],[Child Tax Credit Phase Out]],0)</f>
        <v>0</v>
      </c>
      <c r="N698" s="1">
        <f>MAX(Table1[[#This Row],[Regular Taxes Owed]]-Table1[[#This Row],[Effective Child Tax Credit]],0)</f>
        <v>70964.5</v>
      </c>
      <c r="O698" s="1">
        <f>MAX(MIN((Table1[[#This Row],[taxable wages]]-3000)*0.15,1000*num_kids_16_younger),0)</f>
        <v>5000</v>
      </c>
      <c r="P698" s="9">
        <f>IF(Table1[[#This Row],[Effective Child Tax Credit]]&gt;Table1[[#This Row],[Regular Taxes Owed]],Table1[[#This Row],[Additional Child Tax Credit ]]-Table1[[#This Row],[Regular Taxes Owed]],0)</f>
        <v>0</v>
      </c>
      <c r="Q69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8" s="1">
        <f>Table1[[#This Row],[Effective Additional Child Tax Credit]]+Table1[[#This Row],[Eitc]]</f>
        <v>0</v>
      </c>
      <c r="S698" s="9">
        <f>Table1[[#This Row],[Regular Taxes Owed - Effective Child Tax Credit]]-Table1[[#This Row],[Total Credits]]</f>
        <v>70964.5</v>
      </c>
      <c r="T698" s="9">
        <f>Table1[[#This Row],[taxable wages]]+interest+dividends+short_term_capital_gains+long_term_capital_gains-(charitable_donations+mortgage_interest)</f>
        <v>330500</v>
      </c>
      <c r="U698" s="9">
        <f>MAX(amt_exemption-amt_exemption_phase_out_rate*MAX(Table1[[#This Row],[taxable wages]]-amt_phase_out_begins,0),0)</f>
        <v>41100</v>
      </c>
      <c r="V69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77306</v>
      </c>
      <c r="W698" s="1">
        <f>IF(AND(Table1[[#This Row],[AMT Taxes]]&gt;Table1[[#This Row],[Regular Taxes Owed]],Table1[[#This Row],[AMT Taxes]]&gt;0),Table1[[#This Row],[AMT Taxes]]-Table1[[#This Row],[Regular Taxes Owed]],0)</f>
        <v>6341.5</v>
      </c>
      <c r="X698" s="9">
        <f>Table1[[#This Row],[Extra Taxes From Amt]]+Table1[[#This Row],[Federal Taxes Owed (No AMT)]]</f>
        <v>77306</v>
      </c>
      <c r="Y698" s="9">
        <f>IF(Table1[[#This Row],[taxable wages]]&gt;obamacare_surcharge_amount,obamacare_surcharge_percent*(Table1[[#This Row],[taxable wages]]-obamacare_surcharge_amount),0)</f>
        <v>724.5</v>
      </c>
      <c r="Z698" s="9">
        <f>Table1[[#This Row],[Federal Taxes Owed (Includes AMT)]]+Table1[[#This Row],[Obamacare surcharge premium]]</f>
        <v>78030.5</v>
      </c>
      <c r="AA698" s="9">
        <f>Table1[[#This Row],[taxable wages]]-Table1[[#This Row],[Federal Taxes Owed2]]</f>
        <v>252469.5</v>
      </c>
      <c r="AB698" s="51">
        <f t="shared" si="61"/>
        <v>0.35899999999999999</v>
      </c>
      <c r="AC698" s="41"/>
      <c r="AD698" s="13"/>
      <c r="AE698" s="13"/>
    </row>
    <row r="699" spans="2:31" x14ac:dyDescent="0.3">
      <c r="B699" s="41">
        <f t="shared" si="62"/>
        <v>331000</v>
      </c>
      <c r="C699" s="1">
        <f>Table1[[#This Row],[taxable wages]]</f>
        <v>331000</v>
      </c>
      <c r="D699" s="1">
        <f>Table1[[#This Row],[taxable wages]]+interest+dividends+short_term_capital_gains+long_term_capital_gains</f>
        <v>331000</v>
      </c>
      <c r="E699" s="1">
        <f>MAX(Table1[[#This Row],[earned income for EITC]:[Agi For Eitc Calc]])</f>
        <v>331000</v>
      </c>
      <c r="F699" s="1">
        <f>Table1[[#This Row],[taxable wages]]+interest+dividends+short_term_capital_gains+long_term_capital_gains-(trad_ira_contributions+MIN(student_loan_interest_cap,student_loan_interest))</f>
        <v>331000</v>
      </c>
      <c r="G699" s="1">
        <f t="shared" si="58"/>
        <v>12600</v>
      </c>
      <c r="H699" s="1">
        <f t="shared" si="59"/>
        <v>28350</v>
      </c>
      <c r="I699" s="1">
        <f>MAX(0,Table1[[#This Row],[Agi]]-Table1[[#This Row],[Exemptions]]-Table1[[#This Row],[Effective Deductions]])</f>
        <v>290050</v>
      </c>
      <c r="J69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71129.5</v>
      </c>
      <c r="K699" s="1">
        <f t="shared" si="60"/>
        <v>5000</v>
      </c>
      <c r="L699" s="1">
        <f>IF(Table1[[#This Row],[Agi]]&gt;ctc_phase_out_begins,ctc_phase_out_rate*(Table1[[#This Row],[Agi]]-ctc_phase_out_begins),0)</f>
        <v>11050</v>
      </c>
      <c r="M699" s="1">
        <f>MAX(Table1[[#This Row],[Child Tax Credit]]-Table1[[#This Row],[Child Tax Credit Phase Out]],0)</f>
        <v>0</v>
      </c>
      <c r="N699" s="1">
        <f>MAX(Table1[[#This Row],[Regular Taxes Owed]]-Table1[[#This Row],[Effective Child Tax Credit]],0)</f>
        <v>71129.5</v>
      </c>
      <c r="O699" s="1">
        <f>MAX(MIN((Table1[[#This Row],[taxable wages]]-3000)*0.15,1000*num_kids_16_younger),0)</f>
        <v>5000</v>
      </c>
      <c r="P699" s="9">
        <f>IF(Table1[[#This Row],[Effective Child Tax Credit]]&gt;Table1[[#This Row],[Regular Taxes Owed]],Table1[[#This Row],[Additional Child Tax Credit ]]-Table1[[#This Row],[Regular Taxes Owed]],0)</f>
        <v>0</v>
      </c>
      <c r="Q69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699" s="1">
        <f>Table1[[#This Row],[Effective Additional Child Tax Credit]]+Table1[[#This Row],[Eitc]]</f>
        <v>0</v>
      </c>
      <c r="S699" s="9">
        <f>Table1[[#This Row],[Regular Taxes Owed - Effective Child Tax Credit]]-Table1[[#This Row],[Total Credits]]</f>
        <v>71129.5</v>
      </c>
      <c r="T699" s="9">
        <f>Table1[[#This Row],[taxable wages]]+interest+dividends+short_term_capital_gains+long_term_capital_gains-(charitable_donations+mortgage_interest)</f>
        <v>331000</v>
      </c>
      <c r="U699" s="9">
        <f>MAX(amt_exemption-amt_exemption_phase_out_rate*MAX(Table1[[#This Row],[taxable wages]]-amt_phase_out_begins,0),0)</f>
        <v>40975</v>
      </c>
      <c r="V69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77481</v>
      </c>
      <c r="W699" s="1">
        <f>IF(AND(Table1[[#This Row],[AMT Taxes]]&gt;Table1[[#This Row],[Regular Taxes Owed]],Table1[[#This Row],[AMT Taxes]]&gt;0),Table1[[#This Row],[AMT Taxes]]-Table1[[#This Row],[Regular Taxes Owed]],0)</f>
        <v>6351.5</v>
      </c>
      <c r="X699" s="9">
        <f>Table1[[#This Row],[Extra Taxes From Amt]]+Table1[[#This Row],[Federal Taxes Owed (No AMT)]]</f>
        <v>77481</v>
      </c>
      <c r="Y699" s="9">
        <f>IF(Table1[[#This Row],[taxable wages]]&gt;obamacare_surcharge_amount,obamacare_surcharge_percent*(Table1[[#This Row],[taxable wages]]-obamacare_surcharge_amount),0)</f>
        <v>729</v>
      </c>
      <c r="Z699" s="9">
        <f>Table1[[#This Row],[Federal Taxes Owed (Includes AMT)]]+Table1[[#This Row],[Obamacare surcharge premium]]</f>
        <v>78210</v>
      </c>
      <c r="AA699" s="9">
        <f>Table1[[#This Row],[taxable wages]]-Table1[[#This Row],[Federal Taxes Owed2]]</f>
        <v>252790</v>
      </c>
      <c r="AB699" s="51">
        <f t="shared" si="61"/>
        <v>0.35899999999999999</v>
      </c>
      <c r="AC699" s="41"/>
      <c r="AD699" s="13"/>
      <c r="AE699" s="13"/>
    </row>
    <row r="700" spans="2:31" x14ac:dyDescent="0.3">
      <c r="B700" s="41">
        <f t="shared" si="62"/>
        <v>331500</v>
      </c>
      <c r="C700" s="1">
        <f>Table1[[#This Row],[taxable wages]]</f>
        <v>331500</v>
      </c>
      <c r="D700" s="1">
        <f>Table1[[#This Row],[taxable wages]]+interest+dividends+short_term_capital_gains+long_term_capital_gains</f>
        <v>331500</v>
      </c>
      <c r="E700" s="1">
        <f>MAX(Table1[[#This Row],[earned income for EITC]:[Agi For Eitc Calc]])</f>
        <v>331500</v>
      </c>
      <c r="F700" s="1">
        <f>Table1[[#This Row],[taxable wages]]+interest+dividends+short_term_capital_gains+long_term_capital_gains-(trad_ira_contributions+MIN(student_loan_interest_cap,student_loan_interest))</f>
        <v>331500</v>
      </c>
      <c r="G700" s="1">
        <f t="shared" si="58"/>
        <v>12600</v>
      </c>
      <c r="H700" s="1">
        <f t="shared" si="59"/>
        <v>28350</v>
      </c>
      <c r="I700" s="1">
        <f>MAX(0,Table1[[#This Row],[Agi]]-Table1[[#This Row],[Exemptions]]-Table1[[#This Row],[Effective Deductions]])</f>
        <v>290550</v>
      </c>
      <c r="J70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71294.5</v>
      </c>
      <c r="K700" s="1">
        <f t="shared" si="60"/>
        <v>5000</v>
      </c>
      <c r="L700" s="1">
        <f>IF(Table1[[#This Row],[Agi]]&gt;ctc_phase_out_begins,ctc_phase_out_rate*(Table1[[#This Row],[Agi]]-ctc_phase_out_begins),0)</f>
        <v>11075</v>
      </c>
      <c r="M700" s="1">
        <f>MAX(Table1[[#This Row],[Child Tax Credit]]-Table1[[#This Row],[Child Tax Credit Phase Out]],0)</f>
        <v>0</v>
      </c>
      <c r="N700" s="1">
        <f>MAX(Table1[[#This Row],[Regular Taxes Owed]]-Table1[[#This Row],[Effective Child Tax Credit]],0)</f>
        <v>71294.5</v>
      </c>
      <c r="O700" s="1">
        <f>MAX(MIN((Table1[[#This Row],[taxable wages]]-3000)*0.15,1000*num_kids_16_younger),0)</f>
        <v>5000</v>
      </c>
      <c r="P700" s="9">
        <f>IF(Table1[[#This Row],[Effective Child Tax Credit]]&gt;Table1[[#This Row],[Regular Taxes Owed]],Table1[[#This Row],[Additional Child Tax Credit ]]-Table1[[#This Row],[Regular Taxes Owed]],0)</f>
        <v>0</v>
      </c>
      <c r="Q70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0" s="1">
        <f>Table1[[#This Row],[Effective Additional Child Tax Credit]]+Table1[[#This Row],[Eitc]]</f>
        <v>0</v>
      </c>
      <c r="S700" s="9">
        <f>Table1[[#This Row],[Regular Taxes Owed - Effective Child Tax Credit]]-Table1[[#This Row],[Total Credits]]</f>
        <v>71294.5</v>
      </c>
      <c r="T700" s="9">
        <f>Table1[[#This Row],[taxable wages]]+interest+dividends+short_term_capital_gains+long_term_capital_gains-(charitable_donations+mortgage_interest)</f>
        <v>331500</v>
      </c>
      <c r="U700" s="9">
        <f>MAX(amt_exemption-amt_exemption_phase_out_rate*MAX(Table1[[#This Row],[taxable wages]]-amt_phase_out_begins,0),0)</f>
        <v>40850</v>
      </c>
      <c r="V70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77656</v>
      </c>
      <c r="W700" s="1">
        <f>IF(AND(Table1[[#This Row],[AMT Taxes]]&gt;Table1[[#This Row],[Regular Taxes Owed]],Table1[[#This Row],[AMT Taxes]]&gt;0),Table1[[#This Row],[AMT Taxes]]-Table1[[#This Row],[Regular Taxes Owed]],0)</f>
        <v>6361.5</v>
      </c>
      <c r="X700" s="9">
        <f>Table1[[#This Row],[Extra Taxes From Amt]]+Table1[[#This Row],[Federal Taxes Owed (No AMT)]]</f>
        <v>77656</v>
      </c>
      <c r="Y700" s="9">
        <f>IF(Table1[[#This Row],[taxable wages]]&gt;obamacare_surcharge_amount,obamacare_surcharge_percent*(Table1[[#This Row],[taxable wages]]-obamacare_surcharge_amount),0)</f>
        <v>733.5</v>
      </c>
      <c r="Z700" s="9">
        <f>Table1[[#This Row],[Federal Taxes Owed (Includes AMT)]]+Table1[[#This Row],[Obamacare surcharge premium]]</f>
        <v>78389.5</v>
      </c>
      <c r="AA700" s="9">
        <f>Table1[[#This Row],[taxable wages]]-Table1[[#This Row],[Federal Taxes Owed2]]</f>
        <v>253110.5</v>
      </c>
      <c r="AB700" s="51">
        <f t="shared" si="61"/>
        <v>0.35899999999999999</v>
      </c>
      <c r="AC700" s="41"/>
      <c r="AD700" s="13"/>
      <c r="AE700" s="13"/>
    </row>
    <row r="701" spans="2:31" x14ac:dyDescent="0.3">
      <c r="B701" s="41">
        <f t="shared" si="62"/>
        <v>332000</v>
      </c>
      <c r="C701" s="1">
        <f>Table1[[#This Row],[taxable wages]]</f>
        <v>332000</v>
      </c>
      <c r="D701" s="1">
        <f>Table1[[#This Row],[taxable wages]]+interest+dividends+short_term_capital_gains+long_term_capital_gains</f>
        <v>332000</v>
      </c>
      <c r="E701" s="1">
        <f>MAX(Table1[[#This Row],[earned income for EITC]:[Agi For Eitc Calc]])</f>
        <v>332000</v>
      </c>
      <c r="F701" s="1">
        <f>Table1[[#This Row],[taxable wages]]+interest+dividends+short_term_capital_gains+long_term_capital_gains-(trad_ira_contributions+MIN(student_loan_interest_cap,student_loan_interest))</f>
        <v>332000</v>
      </c>
      <c r="G701" s="1">
        <f t="shared" si="58"/>
        <v>12600</v>
      </c>
      <c r="H701" s="1">
        <f t="shared" si="59"/>
        <v>28350</v>
      </c>
      <c r="I701" s="1">
        <f>MAX(0,Table1[[#This Row],[Agi]]-Table1[[#This Row],[Exemptions]]-Table1[[#This Row],[Effective Deductions]])</f>
        <v>291050</v>
      </c>
      <c r="J70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71459.5</v>
      </c>
      <c r="K701" s="1">
        <f t="shared" si="60"/>
        <v>5000</v>
      </c>
      <c r="L701" s="1">
        <f>IF(Table1[[#This Row],[Agi]]&gt;ctc_phase_out_begins,ctc_phase_out_rate*(Table1[[#This Row],[Agi]]-ctc_phase_out_begins),0)</f>
        <v>11100</v>
      </c>
      <c r="M701" s="1">
        <f>MAX(Table1[[#This Row],[Child Tax Credit]]-Table1[[#This Row],[Child Tax Credit Phase Out]],0)</f>
        <v>0</v>
      </c>
      <c r="N701" s="1">
        <f>MAX(Table1[[#This Row],[Regular Taxes Owed]]-Table1[[#This Row],[Effective Child Tax Credit]],0)</f>
        <v>71459.5</v>
      </c>
      <c r="O701" s="1">
        <f>MAX(MIN((Table1[[#This Row],[taxable wages]]-3000)*0.15,1000*num_kids_16_younger),0)</f>
        <v>5000</v>
      </c>
      <c r="P701" s="9">
        <f>IF(Table1[[#This Row],[Effective Child Tax Credit]]&gt;Table1[[#This Row],[Regular Taxes Owed]],Table1[[#This Row],[Additional Child Tax Credit ]]-Table1[[#This Row],[Regular Taxes Owed]],0)</f>
        <v>0</v>
      </c>
      <c r="Q70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1" s="1">
        <f>Table1[[#This Row],[Effective Additional Child Tax Credit]]+Table1[[#This Row],[Eitc]]</f>
        <v>0</v>
      </c>
      <c r="S701" s="9">
        <f>Table1[[#This Row],[Regular Taxes Owed - Effective Child Tax Credit]]-Table1[[#This Row],[Total Credits]]</f>
        <v>71459.5</v>
      </c>
      <c r="T701" s="9">
        <f>Table1[[#This Row],[taxable wages]]+interest+dividends+short_term_capital_gains+long_term_capital_gains-(charitable_donations+mortgage_interest)</f>
        <v>332000</v>
      </c>
      <c r="U701" s="9">
        <f>MAX(amt_exemption-amt_exemption_phase_out_rate*MAX(Table1[[#This Row],[taxable wages]]-amt_phase_out_begins,0),0)</f>
        <v>40725</v>
      </c>
      <c r="V70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77831</v>
      </c>
      <c r="W701" s="1">
        <f>IF(AND(Table1[[#This Row],[AMT Taxes]]&gt;Table1[[#This Row],[Regular Taxes Owed]],Table1[[#This Row],[AMT Taxes]]&gt;0),Table1[[#This Row],[AMT Taxes]]-Table1[[#This Row],[Regular Taxes Owed]],0)</f>
        <v>6371.5</v>
      </c>
      <c r="X701" s="9">
        <f>Table1[[#This Row],[Extra Taxes From Amt]]+Table1[[#This Row],[Federal Taxes Owed (No AMT)]]</f>
        <v>77831</v>
      </c>
      <c r="Y701" s="9">
        <f>IF(Table1[[#This Row],[taxable wages]]&gt;obamacare_surcharge_amount,obamacare_surcharge_percent*(Table1[[#This Row],[taxable wages]]-obamacare_surcharge_amount),0)</f>
        <v>738</v>
      </c>
      <c r="Z701" s="9">
        <f>Table1[[#This Row],[Federal Taxes Owed (Includes AMT)]]+Table1[[#This Row],[Obamacare surcharge premium]]</f>
        <v>78569</v>
      </c>
      <c r="AA701" s="9">
        <f>Table1[[#This Row],[taxable wages]]-Table1[[#This Row],[Federal Taxes Owed2]]</f>
        <v>253431</v>
      </c>
      <c r="AB701" s="51">
        <f t="shared" si="61"/>
        <v>0.35899999999999999</v>
      </c>
      <c r="AC701" s="41"/>
      <c r="AD701" s="13"/>
      <c r="AE701" s="13"/>
    </row>
    <row r="702" spans="2:31" x14ac:dyDescent="0.3">
      <c r="B702" s="41">
        <f t="shared" si="62"/>
        <v>332500</v>
      </c>
      <c r="C702" s="1">
        <f>Table1[[#This Row],[taxable wages]]</f>
        <v>332500</v>
      </c>
      <c r="D702" s="1">
        <f>Table1[[#This Row],[taxable wages]]+interest+dividends+short_term_capital_gains+long_term_capital_gains</f>
        <v>332500</v>
      </c>
      <c r="E702" s="1">
        <f>MAX(Table1[[#This Row],[earned income for EITC]:[Agi For Eitc Calc]])</f>
        <v>332500</v>
      </c>
      <c r="F702" s="1">
        <f>Table1[[#This Row],[taxable wages]]+interest+dividends+short_term_capital_gains+long_term_capital_gains-(trad_ira_contributions+MIN(student_loan_interest_cap,student_loan_interest))</f>
        <v>332500</v>
      </c>
      <c r="G702" s="1">
        <f t="shared" si="58"/>
        <v>12600</v>
      </c>
      <c r="H702" s="1">
        <f t="shared" si="59"/>
        <v>28350</v>
      </c>
      <c r="I702" s="1">
        <f>MAX(0,Table1[[#This Row],[Agi]]-Table1[[#This Row],[Exemptions]]-Table1[[#This Row],[Effective Deductions]])</f>
        <v>291550</v>
      </c>
      <c r="J70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71624.5</v>
      </c>
      <c r="K702" s="1">
        <f t="shared" si="60"/>
        <v>5000</v>
      </c>
      <c r="L702" s="1">
        <f>IF(Table1[[#This Row],[Agi]]&gt;ctc_phase_out_begins,ctc_phase_out_rate*(Table1[[#This Row],[Agi]]-ctc_phase_out_begins),0)</f>
        <v>11125</v>
      </c>
      <c r="M702" s="1">
        <f>MAX(Table1[[#This Row],[Child Tax Credit]]-Table1[[#This Row],[Child Tax Credit Phase Out]],0)</f>
        <v>0</v>
      </c>
      <c r="N702" s="1">
        <f>MAX(Table1[[#This Row],[Regular Taxes Owed]]-Table1[[#This Row],[Effective Child Tax Credit]],0)</f>
        <v>71624.5</v>
      </c>
      <c r="O702" s="1">
        <f>MAX(MIN((Table1[[#This Row],[taxable wages]]-3000)*0.15,1000*num_kids_16_younger),0)</f>
        <v>5000</v>
      </c>
      <c r="P702" s="9">
        <f>IF(Table1[[#This Row],[Effective Child Tax Credit]]&gt;Table1[[#This Row],[Regular Taxes Owed]],Table1[[#This Row],[Additional Child Tax Credit ]]-Table1[[#This Row],[Regular Taxes Owed]],0)</f>
        <v>0</v>
      </c>
      <c r="Q70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2" s="1">
        <f>Table1[[#This Row],[Effective Additional Child Tax Credit]]+Table1[[#This Row],[Eitc]]</f>
        <v>0</v>
      </c>
      <c r="S702" s="9">
        <f>Table1[[#This Row],[Regular Taxes Owed - Effective Child Tax Credit]]-Table1[[#This Row],[Total Credits]]</f>
        <v>71624.5</v>
      </c>
      <c r="T702" s="9">
        <f>Table1[[#This Row],[taxable wages]]+interest+dividends+short_term_capital_gains+long_term_capital_gains-(charitable_donations+mortgage_interest)</f>
        <v>332500</v>
      </c>
      <c r="U702" s="9">
        <f>MAX(amt_exemption-amt_exemption_phase_out_rate*MAX(Table1[[#This Row],[taxable wages]]-amt_phase_out_begins,0),0)</f>
        <v>40600</v>
      </c>
      <c r="V70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78006</v>
      </c>
      <c r="W702" s="1">
        <f>IF(AND(Table1[[#This Row],[AMT Taxes]]&gt;Table1[[#This Row],[Regular Taxes Owed]],Table1[[#This Row],[AMT Taxes]]&gt;0),Table1[[#This Row],[AMT Taxes]]-Table1[[#This Row],[Regular Taxes Owed]],0)</f>
        <v>6381.5</v>
      </c>
      <c r="X702" s="9">
        <f>Table1[[#This Row],[Extra Taxes From Amt]]+Table1[[#This Row],[Federal Taxes Owed (No AMT)]]</f>
        <v>78006</v>
      </c>
      <c r="Y702" s="9">
        <f>IF(Table1[[#This Row],[taxable wages]]&gt;obamacare_surcharge_amount,obamacare_surcharge_percent*(Table1[[#This Row],[taxable wages]]-obamacare_surcharge_amount),0)</f>
        <v>742.5</v>
      </c>
      <c r="Z702" s="9">
        <f>Table1[[#This Row],[Federal Taxes Owed (Includes AMT)]]+Table1[[#This Row],[Obamacare surcharge premium]]</f>
        <v>78748.5</v>
      </c>
      <c r="AA702" s="9">
        <f>Table1[[#This Row],[taxable wages]]-Table1[[#This Row],[Federal Taxes Owed2]]</f>
        <v>253751.5</v>
      </c>
      <c r="AB702" s="51">
        <f t="shared" si="61"/>
        <v>0.35899999999999999</v>
      </c>
      <c r="AC702" s="41"/>
      <c r="AD702" s="13"/>
      <c r="AE702" s="13"/>
    </row>
    <row r="703" spans="2:31" x14ac:dyDescent="0.3">
      <c r="B703" s="41">
        <f t="shared" si="62"/>
        <v>333000</v>
      </c>
      <c r="C703" s="1">
        <f>Table1[[#This Row],[taxable wages]]</f>
        <v>333000</v>
      </c>
      <c r="D703" s="1">
        <f>Table1[[#This Row],[taxable wages]]+interest+dividends+short_term_capital_gains+long_term_capital_gains</f>
        <v>333000</v>
      </c>
      <c r="E703" s="1">
        <f>MAX(Table1[[#This Row],[earned income for EITC]:[Agi For Eitc Calc]])</f>
        <v>333000</v>
      </c>
      <c r="F703" s="1">
        <f>Table1[[#This Row],[taxable wages]]+interest+dividends+short_term_capital_gains+long_term_capital_gains-(trad_ira_contributions+MIN(student_loan_interest_cap,student_loan_interest))</f>
        <v>333000</v>
      </c>
      <c r="G703" s="1">
        <f t="shared" si="58"/>
        <v>12600</v>
      </c>
      <c r="H703" s="1">
        <f t="shared" si="59"/>
        <v>28350</v>
      </c>
      <c r="I703" s="1">
        <f>MAX(0,Table1[[#This Row],[Agi]]-Table1[[#This Row],[Exemptions]]-Table1[[#This Row],[Effective Deductions]])</f>
        <v>292050</v>
      </c>
      <c r="J70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71789.5</v>
      </c>
      <c r="K703" s="1">
        <f t="shared" si="60"/>
        <v>5000</v>
      </c>
      <c r="L703" s="1">
        <f>IF(Table1[[#This Row],[Agi]]&gt;ctc_phase_out_begins,ctc_phase_out_rate*(Table1[[#This Row],[Agi]]-ctc_phase_out_begins),0)</f>
        <v>11150</v>
      </c>
      <c r="M703" s="1">
        <f>MAX(Table1[[#This Row],[Child Tax Credit]]-Table1[[#This Row],[Child Tax Credit Phase Out]],0)</f>
        <v>0</v>
      </c>
      <c r="N703" s="1">
        <f>MAX(Table1[[#This Row],[Regular Taxes Owed]]-Table1[[#This Row],[Effective Child Tax Credit]],0)</f>
        <v>71789.5</v>
      </c>
      <c r="O703" s="1">
        <f>MAX(MIN((Table1[[#This Row],[taxable wages]]-3000)*0.15,1000*num_kids_16_younger),0)</f>
        <v>5000</v>
      </c>
      <c r="P703" s="9">
        <f>IF(Table1[[#This Row],[Effective Child Tax Credit]]&gt;Table1[[#This Row],[Regular Taxes Owed]],Table1[[#This Row],[Additional Child Tax Credit ]]-Table1[[#This Row],[Regular Taxes Owed]],0)</f>
        <v>0</v>
      </c>
      <c r="Q70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3" s="1">
        <f>Table1[[#This Row],[Effective Additional Child Tax Credit]]+Table1[[#This Row],[Eitc]]</f>
        <v>0</v>
      </c>
      <c r="S703" s="9">
        <f>Table1[[#This Row],[Regular Taxes Owed - Effective Child Tax Credit]]-Table1[[#This Row],[Total Credits]]</f>
        <v>71789.5</v>
      </c>
      <c r="T703" s="9">
        <f>Table1[[#This Row],[taxable wages]]+interest+dividends+short_term_capital_gains+long_term_capital_gains-(charitable_donations+mortgage_interest)</f>
        <v>333000</v>
      </c>
      <c r="U703" s="9">
        <f>MAX(amt_exemption-amt_exemption_phase_out_rate*MAX(Table1[[#This Row],[taxable wages]]-amt_phase_out_begins,0),0)</f>
        <v>40475</v>
      </c>
      <c r="V70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78181</v>
      </c>
      <c r="W703" s="1">
        <f>IF(AND(Table1[[#This Row],[AMT Taxes]]&gt;Table1[[#This Row],[Regular Taxes Owed]],Table1[[#This Row],[AMT Taxes]]&gt;0),Table1[[#This Row],[AMT Taxes]]-Table1[[#This Row],[Regular Taxes Owed]],0)</f>
        <v>6391.5</v>
      </c>
      <c r="X703" s="9">
        <f>Table1[[#This Row],[Extra Taxes From Amt]]+Table1[[#This Row],[Federal Taxes Owed (No AMT)]]</f>
        <v>78181</v>
      </c>
      <c r="Y703" s="9">
        <f>IF(Table1[[#This Row],[taxable wages]]&gt;obamacare_surcharge_amount,obamacare_surcharge_percent*(Table1[[#This Row],[taxable wages]]-obamacare_surcharge_amount),0)</f>
        <v>747</v>
      </c>
      <c r="Z703" s="9">
        <f>Table1[[#This Row],[Federal Taxes Owed (Includes AMT)]]+Table1[[#This Row],[Obamacare surcharge premium]]</f>
        <v>78928</v>
      </c>
      <c r="AA703" s="9">
        <f>Table1[[#This Row],[taxable wages]]-Table1[[#This Row],[Federal Taxes Owed2]]</f>
        <v>254072</v>
      </c>
      <c r="AB703" s="51">
        <f t="shared" si="61"/>
        <v>0.35899999999999999</v>
      </c>
      <c r="AC703" s="41"/>
      <c r="AD703" s="13"/>
      <c r="AE703" s="13"/>
    </row>
    <row r="704" spans="2:31" x14ac:dyDescent="0.3">
      <c r="B704" s="41">
        <f t="shared" si="62"/>
        <v>333500</v>
      </c>
      <c r="C704" s="1">
        <f>Table1[[#This Row],[taxable wages]]</f>
        <v>333500</v>
      </c>
      <c r="D704" s="1">
        <f>Table1[[#This Row],[taxable wages]]+interest+dividends+short_term_capital_gains+long_term_capital_gains</f>
        <v>333500</v>
      </c>
      <c r="E704" s="1">
        <f>MAX(Table1[[#This Row],[earned income for EITC]:[Agi For Eitc Calc]])</f>
        <v>333500</v>
      </c>
      <c r="F704" s="1">
        <f>Table1[[#This Row],[taxable wages]]+interest+dividends+short_term_capital_gains+long_term_capital_gains-(trad_ira_contributions+MIN(student_loan_interest_cap,student_loan_interest))</f>
        <v>333500</v>
      </c>
      <c r="G704" s="1">
        <f t="shared" si="58"/>
        <v>12600</v>
      </c>
      <c r="H704" s="1">
        <f t="shared" si="59"/>
        <v>28350</v>
      </c>
      <c r="I704" s="1">
        <f>MAX(0,Table1[[#This Row],[Agi]]-Table1[[#This Row],[Exemptions]]-Table1[[#This Row],[Effective Deductions]])</f>
        <v>292550</v>
      </c>
      <c r="J70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71954.5</v>
      </c>
      <c r="K704" s="1">
        <f t="shared" si="60"/>
        <v>5000</v>
      </c>
      <c r="L704" s="1">
        <f>IF(Table1[[#This Row],[Agi]]&gt;ctc_phase_out_begins,ctc_phase_out_rate*(Table1[[#This Row],[Agi]]-ctc_phase_out_begins),0)</f>
        <v>11175</v>
      </c>
      <c r="M704" s="1">
        <f>MAX(Table1[[#This Row],[Child Tax Credit]]-Table1[[#This Row],[Child Tax Credit Phase Out]],0)</f>
        <v>0</v>
      </c>
      <c r="N704" s="1">
        <f>MAX(Table1[[#This Row],[Regular Taxes Owed]]-Table1[[#This Row],[Effective Child Tax Credit]],0)</f>
        <v>71954.5</v>
      </c>
      <c r="O704" s="1">
        <f>MAX(MIN((Table1[[#This Row],[taxable wages]]-3000)*0.15,1000*num_kids_16_younger),0)</f>
        <v>5000</v>
      </c>
      <c r="P704" s="9">
        <f>IF(Table1[[#This Row],[Effective Child Tax Credit]]&gt;Table1[[#This Row],[Regular Taxes Owed]],Table1[[#This Row],[Additional Child Tax Credit ]]-Table1[[#This Row],[Regular Taxes Owed]],0)</f>
        <v>0</v>
      </c>
      <c r="Q70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4" s="1">
        <f>Table1[[#This Row],[Effective Additional Child Tax Credit]]+Table1[[#This Row],[Eitc]]</f>
        <v>0</v>
      </c>
      <c r="S704" s="9">
        <f>Table1[[#This Row],[Regular Taxes Owed - Effective Child Tax Credit]]-Table1[[#This Row],[Total Credits]]</f>
        <v>71954.5</v>
      </c>
      <c r="T704" s="9">
        <f>Table1[[#This Row],[taxable wages]]+interest+dividends+short_term_capital_gains+long_term_capital_gains-(charitable_donations+mortgage_interest)</f>
        <v>333500</v>
      </c>
      <c r="U704" s="9">
        <f>MAX(amt_exemption-amt_exemption_phase_out_rate*MAX(Table1[[#This Row],[taxable wages]]-amt_phase_out_begins,0),0)</f>
        <v>40350</v>
      </c>
      <c r="V70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78356</v>
      </c>
      <c r="W704" s="1">
        <f>IF(AND(Table1[[#This Row],[AMT Taxes]]&gt;Table1[[#This Row],[Regular Taxes Owed]],Table1[[#This Row],[AMT Taxes]]&gt;0),Table1[[#This Row],[AMT Taxes]]-Table1[[#This Row],[Regular Taxes Owed]],0)</f>
        <v>6401.5</v>
      </c>
      <c r="X704" s="9">
        <f>Table1[[#This Row],[Extra Taxes From Amt]]+Table1[[#This Row],[Federal Taxes Owed (No AMT)]]</f>
        <v>78356</v>
      </c>
      <c r="Y704" s="9">
        <f>IF(Table1[[#This Row],[taxable wages]]&gt;obamacare_surcharge_amount,obamacare_surcharge_percent*(Table1[[#This Row],[taxable wages]]-obamacare_surcharge_amount),0)</f>
        <v>751.5</v>
      </c>
      <c r="Z704" s="9">
        <f>Table1[[#This Row],[Federal Taxes Owed (Includes AMT)]]+Table1[[#This Row],[Obamacare surcharge premium]]</f>
        <v>79107.5</v>
      </c>
      <c r="AA704" s="9">
        <f>Table1[[#This Row],[taxable wages]]-Table1[[#This Row],[Federal Taxes Owed2]]</f>
        <v>254392.5</v>
      </c>
      <c r="AB704" s="51">
        <f t="shared" si="61"/>
        <v>0.35899999999999999</v>
      </c>
      <c r="AC704" s="41"/>
      <c r="AD704" s="13"/>
      <c r="AE704" s="13"/>
    </row>
    <row r="705" spans="2:31" x14ac:dyDescent="0.3">
      <c r="B705" s="41">
        <f t="shared" si="62"/>
        <v>334000</v>
      </c>
      <c r="C705" s="1">
        <f>Table1[[#This Row],[taxable wages]]</f>
        <v>334000</v>
      </c>
      <c r="D705" s="1">
        <f>Table1[[#This Row],[taxable wages]]+interest+dividends+short_term_capital_gains+long_term_capital_gains</f>
        <v>334000</v>
      </c>
      <c r="E705" s="1">
        <f>MAX(Table1[[#This Row],[earned income for EITC]:[Agi For Eitc Calc]])</f>
        <v>334000</v>
      </c>
      <c r="F705" s="1">
        <f>Table1[[#This Row],[taxable wages]]+interest+dividends+short_term_capital_gains+long_term_capital_gains-(trad_ira_contributions+MIN(student_loan_interest_cap,student_loan_interest))</f>
        <v>334000</v>
      </c>
      <c r="G705" s="1">
        <f t="shared" si="58"/>
        <v>12600</v>
      </c>
      <c r="H705" s="1">
        <f t="shared" si="59"/>
        <v>28350</v>
      </c>
      <c r="I705" s="1">
        <f>MAX(0,Table1[[#This Row],[Agi]]-Table1[[#This Row],[Exemptions]]-Table1[[#This Row],[Effective Deductions]])</f>
        <v>293050</v>
      </c>
      <c r="J70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72119.5</v>
      </c>
      <c r="K705" s="1">
        <f t="shared" si="60"/>
        <v>5000</v>
      </c>
      <c r="L705" s="1">
        <f>IF(Table1[[#This Row],[Agi]]&gt;ctc_phase_out_begins,ctc_phase_out_rate*(Table1[[#This Row],[Agi]]-ctc_phase_out_begins),0)</f>
        <v>11200</v>
      </c>
      <c r="M705" s="1">
        <f>MAX(Table1[[#This Row],[Child Tax Credit]]-Table1[[#This Row],[Child Tax Credit Phase Out]],0)</f>
        <v>0</v>
      </c>
      <c r="N705" s="1">
        <f>MAX(Table1[[#This Row],[Regular Taxes Owed]]-Table1[[#This Row],[Effective Child Tax Credit]],0)</f>
        <v>72119.5</v>
      </c>
      <c r="O705" s="1">
        <f>MAX(MIN((Table1[[#This Row],[taxable wages]]-3000)*0.15,1000*num_kids_16_younger),0)</f>
        <v>5000</v>
      </c>
      <c r="P705" s="9">
        <f>IF(Table1[[#This Row],[Effective Child Tax Credit]]&gt;Table1[[#This Row],[Regular Taxes Owed]],Table1[[#This Row],[Additional Child Tax Credit ]]-Table1[[#This Row],[Regular Taxes Owed]],0)</f>
        <v>0</v>
      </c>
      <c r="Q70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5" s="1">
        <f>Table1[[#This Row],[Effective Additional Child Tax Credit]]+Table1[[#This Row],[Eitc]]</f>
        <v>0</v>
      </c>
      <c r="S705" s="9">
        <f>Table1[[#This Row],[Regular Taxes Owed - Effective Child Tax Credit]]-Table1[[#This Row],[Total Credits]]</f>
        <v>72119.5</v>
      </c>
      <c r="T705" s="9">
        <f>Table1[[#This Row],[taxable wages]]+interest+dividends+short_term_capital_gains+long_term_capital_gains-(charitable_donations+mortgage_interest)</f>
        <v>334000</v>
      </c>
      <c r="U705" s="9">
        <f>MAX(amt_exemption-amt_exemption_phase_out_rate*MAX(Table1[[#This Row],[taxable wages]]-amt_phase_out_begins,0),0)</f>
        <v>40225</v>
      </c>
      <c r="V70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78531</v>
      </c>
      <c r="W705" s="1">
        <f>IF(AND(Table1[[#This Row],[AMT Taxes]]&gt;Table1[[#This Row],[Regular Taxes Owed]],Table1[[#This Row],[AMT Taxes]]&gt;0),Table1[[#This Row],[AMT Taxes]]-Table1[[#This Row],[Regular Taxes Owed]],0)</f>
        <v>6411.5</v>
      </c>
      <c r="X705" s="9">
        <f>Table1[[#This Row],[Extra Taxes From Amt]]+Table1[[#This Row],[Federal Taxes Owed (No AMT)]]</f>
        <v>78531</v>
      </c>
      <c r="Y705" s="9">
        <f>IF(Table1[[#This Row],[taxable wages]]&gt;obamacare_surcharge_amount,obamacare_surcharge_percent*(Table1[[#This Row],[taxable wages]]-obamacare_surcharge_amount),0)</f>
        <v>755.99999999999989</v>
      </c>
      <c r="Z705" s="9">
        <f>Table1[[#This Row],[Federal Taxes Owed (Includes AMT)]]+Table1[[#This Row],[Obamacare surcharge premium]]</f>
        <v>79287</v>
      </c>
      <c r="AA705" s="9">
        <f>Table1[[#This Row],[taxable wages]]-Table1[[#This Row],[Federal Taxes Owed2]]</f>
        <v>254713</v>
      </c>
      <c r="AB705" s="51">
        <f t="shared" si="61"/>
        <v>0.35899999999999999</v>
      </c>
      <c r="AC705" s="41"/>
      <c r="AD705" s="13"/>
      <c r="AE705" s="13"/>
    </row>
    <row r="706" spans="2:31" x14ac:dyDescent="0.3">
      <c r="B706" s="41">
        <f t="shared" si="62"/>
        <v>334500</v>
      </c>
      <c r="C706" s="1">
        <f>Table1[[#This Row],[taxable wages]]</f>
        <v>334500</v>
      </c>
      <c r="D706" s="1">
        <f>Table1[[#This Row],[taxable wages]]+interest+dividends+short_term_capital_gains+long_term_capital_gains</f>
        <v>334500</v>
      </c>
      <c r="E706" s="1">
        <f>MAX(Table1[[#This Row],[earned income for EITC]:[Agi For Eitc Calc]])</f>
        <v>334500</v>
      </c>
      <c r="F706" s="1">
        <f>Table1[[#This Row],[taxable wages]]+interest+dividends+short_term_capital_gains+long_term_capital_gains-(trad_ira_contributions+MIN(student_loan_interest_cap,student_loan_interest))</f>
        <v>334500</v>
      </c>
      <c r="G706" s="1">
        <f t="shared" si="58"/>
        <v>12600</v>
      </c>
      <c r="H706" s="1">
        <f t="shared" si="59"/>
        <v>28350</v>
      </c>
      <c r="I706" s="1">
        <f>MAX(0,Table1[[#This Row],[Agi]]-Table1[[#This Row],[Exemptions]]-Table1[[#This Row],[Effective Deductions]])</f>
        <v>293550</v>
      </c>
      <c r="J70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72284.5</v>
      </c>
      <c r="K706" s="1">
        <f t="shared" si="60"/>
        <v>5000</v>
      </c>
      <c r="L706" s="1">
        <f>IF(Table1[[#This Row],[Agi]]&gt;ctc_phase_out_begins,ctc_phase_out_rate*(Table1[[#This Row],[Agi]]-ctc_phase_out_begins),0)</f>
        <v>11225</v>
      </c>
      <c r="M706" s="1">
        <f>MAX(Table1[[#This Row],[Child Tax Credit]]-Table1[[#This Row],[Child Tax Credit Phase Out]],0)</f>
        <v>0</v>
      </c>
      <c r="N706" s="1">
        <f>MAX(Table1[[#This Row],[Regular Taxes Owed]]-Table1[[#This Row],[Effective Child Tax Credit]],0)</f>
        <v>72284.5</v>
      </c>
      <c r="O706" s="1">
        <f>MAX(MIN((Table1[[#This Row],[taxable wages]]-3000)*0.15,1000*num_kids_16_younger),0)</f>
        <v>5000</v>
      </c>
      <c r="P706" s="9">
        <f>IF(Table1[[#This Row],[Effective Child Tax Credit]]&gt;Table1[[#This Row],[Regular Taxes Owed]],Table1[[#This Row],[Additional Child Tax Credit ]]-Table1[[#This Row],[Regular Taxes Owed]],0)</f>
        <v>0</v>
      </c>
      <c r="Q70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6" s="1">
        <f>Table1[[#This Row],[Effective Additional Child Tax Credit]]+Table1[[#This Row],[Eitc]]</f>
        <v>0</v>
      </c>
      <c r="S706" s="9">
        <f>Table1[[#This Row],[Regular Taxes Owed - Effective Child Tax Credit]]-Table1[[#This Row],[Total Credits]]</f>
        <v>72284.5</v>
      </c>
      <c r="T706" s="9">
        <f>Table1[[#This Row],[taxable wages]]+interest+dividends+short_term_capital_gains+long_term_capital_gains-(charitable_donations+mortgage_interest)</f>
        <v>334500</v>
      </c>
      <c r="U706" s="9">
        <f>MAX(amt_exemption-amt_exemption_phase_out_rate*MAX(Table1[[#This Row],[taxable wages]]-amt_phase_out_begins,0),0)</f>
        <v>40100</v>
      </c>
      <c r="V70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78706</v>
      </c>
      <c r="W706" s="1">
        <f>IF(AND(Table1[[#This Row],[AMT Taxes]]&gt;Table1[[#This Row],[Regular Taxes Owed]],Table1[[#This Row],[AMT Taxes]]&gt;0),Table1[[#This Row],[AMT Taxes]]-Table1[[#This Row],[Regular Taxes Owed]],0)</f>
        <v>6421.5</v>
      </c>
      <c r="X706" s="9">
        <f>Table1[[#This Row],[Extra Taxes From Amt]]+Table1[[#This Row],[Federal Taxes Owed (No AMT)]]</f>
        <v>78706</v>
      </c>
      <c r="Y706" s="9">
        <f>IF(Table1[[#This Row],[taxable wages]]&gt;obamacare_surcharge_amount,obamacare_surcharge_percent*(Table1[[#This Row],[taxable wages]]-obamacare_surcharge_amount),0)</f>
        <v>760.49999999999989</v>
      </c>
      <c r="Z706" s="9">
        <f>Table1[[#This Row],[Federal Taxes Owed (Includes AMT)]]+Table1[[#This Row],[Obamacare surcharge premium]]</f>
        <v>79466.5</v>
      </c>
      <c r="AA706" s="9">
        <f>Table1[[#This Row],[taxable wages]]-Table1[[#This Row],[Federal Taxes Owed2]]</f>
        <v>255033.5</v>
      </c>
      <c r="AB706" s="51">
        <f t="shared" si="61"/>
        <v>0.35899999999999999</v>
      </c>
      <c r="AC706" s="41"/>
      <c r="AD706" s="13"/>
      <c r="AE706" s="13"/>
    </row>
    <row r="707" spans="2:31" x14ac:dyDescent="0.3">
      <c r="B707" s="41">
        <f t="shared" si="62"/>
        <v>335000</v>
      </c>
      <c r="C707" s="1">
        <f>Table1[[#This Row],[taxable wages]]</f>
        <v>335000</v>
      </c>
      <c r="D707" s="1">
        <f>Table1[[#This Row],[taxable wages]]+interest+dividends+short_term_capital_gains+long_term_capital_gains</f>
        <v>335000</v>
      </c>
      <c r="E707" s="1">
        <f>MAX(Table1[[#This Row],[earned income for EITC]:[Agi For Eitc Calc]])</f>
        <v>335000</v>
      </c>
      <c r="F707" s="1">
        <f>Table1[[#This Row],[taxable wages]]+interest+dividends+short_term_capital_gains+long_term_capital_gains-(trad_ira_contributions+MIN(student_loan_interest_cap,student_loan_interest))</f>
        <v>335000</v>
      </c>
      <c r="G707" s="1">
        <f t="shared" si="58"/>
        <v>12600</v>
      </c>
      <c r="H707" s="1">
        <f t="shared" si="59"/>
        <v>28350</v>
      </c>
      <c r="I707" s="1">
        <f>MAX(0,Table1[[#This Row],[Agi]]-Table1[[#This Row],[Exemptions]]-Table1[[#This Row],[Effective Deductions]])</f>
        <v>294050</v>
      </c>
      <c r="J70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72449.5</v>
      </c>
      <c r="K707" s="1">
        <f t="shared" si="60"/>
        <v>5000</v>
      </c>
      <c r="L707" s="1">
        <f>IF(Table1[[#This Row],[Agi]]&gt;ctc_phase_out_begins,ctc_phase_out_rate*(Table1[[#This Row],[Agi]]-ctc_phase_out_begins),0)</f>
        <v>11250</v>
      </c>
      <c r="M707" s="1">
        <f>MAX(Table1[[#This Row],[Child Tax Credit]]-Table1[[#This Row],[Child Tax Credit Phase Out]],0)</f>
        <v>0</v>
      </c>
      <c r="N707" s="1">
        <f>MAX(Table1[[#This Row],[Regular Taxes Owed]]-Table1[[#This Row],[Effective Child Tax Credit]],0)</f>
        <v>72449.5</v>
      </c>
      <c r="O707" s="1">
        <f>MAX(MIN((Table1[[#This Row],[taxable wages]]-3000)*0.15,1000*num_kids_16_younger),0)</f>
        <v>5000</v>
      </c>
      <c r="P707" s="9">
        <f>IF(Table1[[#This Row],[Effective Child Tax Credit]]&gt;Table1[[#This Row],[Regular Taxes Owed]],Table1[[#This Row],[Additional Child Tax Credit ]]-Table1[[#This Row],[Regular Taxes Owed]],0)</f>
        <v>0</v>
      </c>
      <c r="Q70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7" s="1">
        <f>Table1[[#This Row],[Effective Additional Child Tax Credit]]+Table1[[#This Row],[Eitc]]</f>
        <v>0</v>
      </c>
      <c r="S707" s="9">
        <f>Table1[[#This Row],[Regular Taxes Owed - Effective Child Tax Credit]]-Table1[[#This Row],[Total Credits]]</f>
        <v>72449.5</v>
      </c>
      <c r="T707" s="9">
        <f>Table1[[#This Row],[taxable wages]]+interest+dividends+short_term_capital_gains+long_term_capital_gains-(charitable_donations+mortgage_interest)</f>
        <v>335000</v>
      </c>
      <c r="U707" s="9">
        <f>MAX(amt_exemption-amt_exemption_phase_out_rate*MAX(Table1[[#This Row],[taxable wages]]-amt_phase_out_begins,0),0)</f>
        <v>39975</v>
      </c>
      <c r="V70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78881</v>
      </c>
      <c r="W707" s="1">
        <f>IF(AND(Table1[[#This Row],[AMT Taxes]]&gt;Table1[[#This Row],[Regular Taxes Owed]],Table1[[#This Row],[AMT Taxes]]&gt;0),Table1[[#This Row],[AMT Taxes]]-Table1[[#This Row],[Regular Taxes Owed]],0)</f>
        <v>6431.5</v>
      </c>
      <c r="X707" s="9">
        <f>Table1[[#This Row],[Extra Taxes From Amt]]+Table1[[#This Row],[Federal Taxes Owed (No AMT)]]</f>
        <v>78881</v>
      </c>
      <c r="Y707" s="9">
        <f>IF(Table1[[#This Row],[taxable wages]]&gt;obamacare_surcharge_amount,obamacare_surcharge_percent*(Table1[[#This Row],[taxable wages]]-obamacare_surcharge_amount),0)</f>
        <v>764.99999999999989</v>
      </c>
      <c r="Z707" s="9">
        <f>Table1[[#This Row],[Federal Taxes Owed (Includes AMT)]]+Table1[[#This Row],[Obamacare surcharge premium]]</f>
        <v>79646</v>
      </c>
      <c r="AA707" s="9">
        <f>Table1[[#This Row],[taxable wages]]-Table1[[#This Row],[Federal Taxes Owed2]]</f>
        <v>255354</v>
      </c>
      <c r="AB707" s="51">
        <f t="shared" si="61"/>
        <v>0.35899999999999999</v>
      </c>
      <c r="AC707" s="41"/>
      <c r="AD707" s="13"/>
      <c r="AE707" s="13"/>
    </row>
    <row r="708" spans="2:31" x14ac:dyDescent="0.3">
      <c r="B708" s="41">
        <f t="shared" si="62"/>
        <v>335500</v>
      </c>
      <c r="C708" s="1">
        <f>Table1[[#This Row],[taxable wages]]</f>
        <v>335500</v>
      </c>
      <c r="D708" s="1">
        <f>Table1[[#This Row],[taxable wages]]+interest+dividends+short_term_capital_gains+long_term_capital_gains</f>
        <v>335500</v>
      </c>
      <c r="E708" s="1">
        <f>MAX(Table1[[#This Row],[earned income for EITC]:[Agi For Eitc Calc]])</f>
        <v>335500</v>
      </c>
      <c r="F708" s="1">
        <f>Table1[[#This Row],[taxable wages]]+interest+dividends+short_term_capital_gains+long_term_capital_gains-(trad_ira_contributions+MIN(student_loan_interest_cap,student_loan_interest))</f>
        <v>335500</v>
      </c>
      <c r="G708" s="1">
        <f t="shared" si="58"/>
        <v>12600</v>
      </c>
      <c r="H708" s="1">
        <f t="shared" si="59"/>
        <v>28350</v>
      </c>
      <c r="I708" s="1">
        <f>MAX(0,Table1[[#This Row],[Agi]]-Table1[[#This Row],[Exemptions]]-Table1[[#This Row],[Effective Deductions]])</f>
        <v>294550</v>
      </c>
      <c r="J70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72614.5</v>
      </c>
      <c r="K708" s="1">
        <f t="shared" si="60"/>
        <v>5000</v>
      </c>
      <c r="L708" s="1">
        <f>IF(Table1[[#This Row],[Agi]]&gt;ctc_phase_out_begins,ctc_phase_out_rate*(Table1[[#This Row],[Agi]]-ctc_phase_out_begins),0)</f>
        <v>11275</v>
      </c>
      <c r="M708" s="1">
        <f>MAX(Table1[[#This Row],[Child Tax Credit]]-Table1[[#This Row],[Child Tax Credit Phase Out]],0)</f>
        <v>0</v>
      </c>
      <c r="N708" s="1">
        <f>MAX(Table1[[#This Row],[Regular Taxes Owed]]-Table1[[#This Row],[Effective Child Tax Credit]],0)</f>
        <v>72614.5</v>
      </c>
      <c r="O708" s="1">
        <f>MAX(MIN((Table1[[#This Row],[taxable wages]]-3000)*0.15,1000*num_kids_16_younger),0)</f>
        <v>5000</v>
      </c>
      <c r="P708" s="9">
        <f>IF(Table1[[#This Row],[Effective Child Tax Credit]]&gt;Table1[[#This Row],[Regular Taxes Owed]],Table1[[#This Row],[Additional Child Tax Credit ]]-Table1[[#This Row],[Regular Taxes Owed]],0)</f>
        <v>0</v>
      </c>
      <c r="Q70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8" s="1">
        <f>Table1[[#This Row],[Effective Additional Child Tax Credit]]+Table1[[#This Row],[Eitc]]</f>
        <v>0</v>
      </c>
      <c r="S708" s="9">
        <f>Table1[[#This Row],[Regular Taxes Owed - Effective Child Tax Credit]]-Table1[[#This Row],[Total Credits]]</f>
        <v>72614.5</v>
      </c>
      <c r="T708" s="9">
        <f>Table1[[#This Row],[taxable wages]]+interest+dividends+short_term_capital_gains+long_term_capital_gains-(charitable_donations+mortgage_interest)</f>
        <v>335500</v>
      </c>
      <c r="U708" s="9">
        <f>MAX(amt_exemption-amt_exemption_phase_out_rate*MAX(Table1[[#This Row],[taxable wages]]-amt_phase_out_begins,0),0)</f>
        <v>39850</v>
      </c>
      <c r="V70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79056</v>
      </c>
      <c r="W708" s="1">
        <f>IF(AND(Table1[[#This Row],[AMT Taxes]]&gt;Table1[[#This Row],[Regular Taxes Owed]],Table1[[#This Row],[AMT Taxes]]&gt;0),Table1[[#This Row],[AMT Taxes]]-Table1[[#This Row],[Regular Taxes Owed]],0)</f>
        <v>6441.5</v>
      </c>
      <c r="X708" s="9">
        <f>Table1[[#This Row],[Extra Taxes From Amt]]+Table1[[#This Row],[Federal Taxes Owed (No AMT)]]</f>
        <v>79056</v>
      </c>
      <c r="Y708" s="9">
        <f>IF(Table1[[#This Row],[taxable wages]]&gt;obamacare_surcharge_amount,obamacare_surcharge_percent*(Table1[[#This Row],[taxable wages]]-obamacare_surcharge_amount),0)</f>
        <v>769.49999999999989</v>
      </c>
      <c r="Z708" s="9">
        <f>Table1[[#This Row],[Federal Taxes Owed (Includes AMT)]]+Table1[[#This Row],[Obamacare surcharge premium]]</f>
        <v>79825.5</v>
      </c>
      <c r="AA708" s="9">
        <f>Table1[[#This Row],[taxable wages]]-Table1[[#This Row],[Federal Taxes Owed2]]</f>
        <v>255674.5</v>
      </c>
      <c r="AB708" s="51">
        <f t="shared" si="61"/>
        <v>0.35899999999999999</v>
      </c>
      <c r="AC708" s="41"/>
      <c r="AD708" s="13"/>
      <c r="AE708" s="13"/>
    </row>
    <row r="709" spans="2:31" x14ac:dyDescent="0.3">
      <c r="B709" s="41">
        <f t="shared" si="62"/>
        <v>336000</v>
      </c>
      <c r="C709" s="1">
        <f>Table1[[#This Row],[taxable wages]]</f>
        <v>336000</v>
      </c>
      <c r="D709" s="1">
        <f>Table1[[#This Row],[taxable wages]]+interest+dividends+short_term_capital_gains+long_term_capital_gains</f>
        <v>336000</v>
      </c>
      <c r="E709" s="1">
        <f>MAX(Table1[[#This Row],[earned income for EITC]:[Agi For Eitc Calc]])</f>
        <v>336000</v>
      </c>
      <c r="F709" s="1">
        <f>Table1[[#This Row],[taxable wages]]+interest+dividends+short_term_capital_gains+long_term_capital_gains-(trad_ira_contributions+MIN(student_loan_interest_cap,student_loan_interest))</f>
        <v>336000</v>
      </c>
      <c r="G709" s="1">
        <f t="shared" si="58"/>
        <v>12600</v>
      </c>
      <c r="H709" s="1">
        <f t="shared" si="59"/>
        <v>28350</v>
      </c>
      <c r="I709" s="1">
        <f>MAX(0,Table1[[#This Row],[Agi]]-Table1[[#This Row],[Exemptions]]-Table1[[#This Row],[Effective Deductions]])</f>
        <v>295050</v>
      </c>
      <c r="J70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72779.5</v>
      </c>
      <c r="K709" s="1">
        <f t="shared" si="60"/>
        <v>5000</v>
      </c>
      <c r="L709" s="1">
        <f>IF(Table1[[#This Row],[Agi]]&gt;ctc_phase_out_begins,ctc_phase_out_rate*(Table1[[#This Row],[Agi]]-ctc_phase_out_begins),0)</f>
        <v>11300</v>
      </c>
      <c r="M709" s="1">
        <f>MAX(Table1[[#This Row],[Child Tax Credit]]-Table1[[#This Row],[Child Tax Credit Phase Out]],0)</f>
        <v>0</v>
      </c>
      <c r="N709" s="1">
        <f>MAX(Table1[[#This Row],[Regular Taxes Owed]]-Table1[[#This Row],[Effective Child Tax Credit]],0)</f>
        <v>72779.5</v>
      </c>
      <c r="O709" s="1">
        <f>MAX(MIN((Table1[[#This Row],[taxable wages]]-3000)*0.15,1000*num_kids_16_younger),0)</f>
        <v>5000</v>
      </c>
      <c r="P709" s="9">
        <f>IF(Table1[[#This Row],[Effective Child Tax Credit]]&gt;Table1[[#This Row],[Regular Taxes Owed]],Table1[[#This Row],[Additional Child Tax Credit ]]-Table1[[#This Row],[Regular Taxes Owed]],0)</f>
        <v>0</v>
      </c>
      <c r="Q70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09" s="1">
        <f>Table1[[#This Row],[Effective Additional Child Tax Credit]]+Table1[[#This Row],[Eitc]]</f>
        <v>0</v>
      </c>
      <c r="S709" s="9">
        <f>Table1[[#This Row],[Regular Taxes Owed - Effective Child Tax Credit]]-Table1[[#This Row],[Total Credits]]</f>
        <v>72779.5</v>
      </c>
      <c r="T709" s="9">
        <f>Table1[[#This Row],[taxable wages]]+interest+dividends+short_term_capital_gains+long_term_capital_gains-(charitable_donations+mortgage_interest)</f>
        <v>336000</v>
      </c>
      <c r="U709" s="9">
        <f>MAX(amt_exemption-amt_exemption_phase_out_rate*MAX(Table1[[#This Row],[taxable wages]]-amt_phase_out_begins,0),0)</f>
        <v>39725</v>
      </c>
      <c r="V70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79231</v>
      </c>
      <c r="W709" s="1">
        <f>IF(AND(Table1[[#This Row],[AMT Taxes]]&gt;Table1[[#This Row],[Regular Taxes Owed]],Table1[[#This Row],[AMT Taxes]]&gt;0),Table1[[#This Row],[AMT Taxes]]-Table1[[#This Row],[Regular Taxes Owed]],0)</f>
        <v>6451.5</v>
      </c>
      <c r="X709" s="9">
        <f>Table1[[#This Row],[Extra Taxes From Amt]]+Table1[[#This Row],[Federal Taxes Owed (No AMT)]]</f>
        <v>79231</v>
      </c>
      <c r="Y709" s="9">
        <f>IF(Table1[[#This Row],[taxable wages]]&gt;obamacare_surcharge_amount,obamacare_surcharge_percent*(Table1[[#This Row],[taxable wages]]-obamacare_surcharge_amount),0)</f>
        <v>773.99999999999989</v>
      </c>
      <c r="Z709" s="9">
        <f>Table1[[#This Row],[Federal Taxes Owed (Includes AMT)]]+Table1[[#This Row],[Obamacare surcharge premium]]</f>
        <v>80005</v>
      </c>
      <c r="AA709" s="9">
        <f>Table1[[#This Row],[taxable wages]]-Table1[[#This Row],[Federal Taxes Owed2]]</f>
        <v>255995</v>
      </c>
      <c r="AB709" s="51">
        <f t="shared" si="61"/>
        <v>0.35899999999999999</v>
      </c>
      <c r="AC709" s="41"/>
      <c r="AD709" s="13"/>
      <c r="AE709" s="13"/>
    </row>
    <row r="710" spans="2:31" x14ac:dyDescent="0.3">
      <c r="B710" s="41">
        <f t="shared" si="62"/>
        <v>336500</v>
      </c>
      <c r="C710" s="1">
        <f>Table1[[#This Row],[taxable wages]]</f>
        <v>336500</v>
      </c>
      <c r="D710" s="1">
        <f>Table1[[#This Row],[taxable wages]]+interest+dividends+short_term_capital_gains+long_term_capital_gains</f>
        <v>336500</v>
      </c>
      <c r="E710" s="1">
        <f>MAX(Table1[[#This Row],[earned income for EITC]:[Agi For Eitc Calc]])</f>
        <v>336500</v>
      </c>
      <c r="F710" s="1">
        <f>Table1[[#This Row],[taxable wages]]+interest+dividends+short_term_capital_gains+long_term_capital_gains-(trad_ira_contributions+MIN(student_loan_interest_cap,student_loan_interest))</f>
        <v>336500</v>
      </c>
      <c r="G710" s="1">
        <f t="shared" si="58"/>
        <v>12600</v>
      </c>
      <c r="H710" s="1">
        <f t="shared" si="59"/>
        <v>28350</v>
      </c>
      <c r="I710" s="1">
        <f>MAX(0,Table1[[#This Row],[Agi]]-Table1[[#This Row],[Exemptions]]-Table1[[#This Row],[Effective Deductions]])</f>
        <v>295550</v>
      </c>
      <c r="J71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72944.5</v>
      </c>
      <c r="K710" s="1">
        <f t="shared" si="60"/>
        <v>5000</v>
      </c>
      <c r="L710" s="1">
        <f>IF(Table1[[#This Row],[Agi]]&gt;ctc_phase_out_begins,ctc_phase_out_rate*(Table1[[#This Row],[Agi]]-ctc_phase_out_begins),0)</f>
        <v>11325</v>
      </c>
      <c r="M710" s="1">
        <f>MAX(Table1[[#This Row],[Child Tax Credit]]-Table1[[#This Row],[Child Tax Credit Phase Out]],0)</f>
        <v>0</v>
      </c>
      <c r="N710" s="1">
        <f>MAX(Table1[[#This Row],[Regular Taxes Owed]]-Table1[[#This Row],[Effective Child Tax Credit]],0)</f>
        <v>72944.5</v>
      </c>
      <c r="O710" s="1">
        <f>MAX(MIN((Table1[[#This Row],[taxable wages]]-3000)*0.15,1000*num_kids_16_younger),0)</f>
        <v>5000</v>
      </c>
      <c r="P710" s="9">
        <f>IF(Table1[[#This Row],[Effective Child Tax Credit]]&gt;Table1[[#This Row],[Regular Taxes Owed]],Table1[[#This Row],[Additional Child Tax Credit ]]-Table1[[#This Row],[Regular Taxes Owed]],0)</f>
        <v>0</v>
      </c>
      <c r="Q71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0" s="1">
        <f>Table1[[#This Row],[Effective Additional Child Tax Credit]]+Table1[[#This Row],[Eitc]]</f>
        <v>0</v>
      </c>
      <c r="S710" s="9">
        <f>Table1[[#This Row],[Regular Taxes Owed - Effective Child Tax Credit]]-Table1[[#This Row],[Total Credits]]</f>
        <v>72944.5</v>
      </c>
      <c r="T710" s="9">
        <f>Table1[[#This Row],[taxable wages]]+interest+dividends+short_term_capital_gains+long_term_capital_gains-(charitable_donations+mortgage_interest)</f>
        <v>336500</v>
      </c>
      <c r="U710" s="9">
        <f>MAX(amt_exemption-amt_exemption_phase_out_rate*MAX(Table1[[#This Row],[taxable wages]]-amt_phase_out_begins,0),0)</f>
        <v>39600</v>
      </c>
      <c r="V71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79406</v>
      </c>
      <c r="W710" s="1">
        <f>IF(AND(Table1[[#This Row],[AMT Taxes]]&gt;Table1[[#This Row],[Regular Taxes Owed]],Table1[[#This Row],[AMT Taxes]]&gt;0),Table1[[#This Row],[AMT Taxes]]-Table1[[#This Row],[Regular Taxes Owed]],0)</f>
        <v>6461.5</v>
      </c>
      <c r="X710" s="9">
        <f>Table1[[#This Row],[Extra Taxes From Amt]]+Table1[[#This Row],[Federal Taxes Owed (No AMT)]]</f>
        <v>79406</v>
      </c>
      <c r="Y710" s="9">
        <f>IF(Table1[[#This Row],[taxable wages]]&gt;obamacare_surcharge_amount,obamacare_surcharge_percent*(Table1[[#This Row],[taxable wages]]-obamacare_surcharge_amount),0)</f>
        <v>778.49999999999989</v>
      </c>
      <c r="Z710" s="9">
        <f>Table1[[#This Row],[Federal Taxes Owed (Includes AMT)]]+Table1[[#This Row],[Obamacare surcharge premium]]</f>
        <v>80184.5</v>
      </c>
      <c r="AA710" s="9">
        <f>Table1[[#This Row],[taxable wages]]-Table1[[#This Row],[Federal Taxes Owed2]]</f>
        <v>256315.5</v>
      </c>
      <c r="AB710" s="51">
        <f t="shared" si="61"/>
        <v>0.35899999999999999</v>
      </c>
      <c r="AC710" s="41"/>
      <c r="AD710" s="13"/>
      <c r="AE710" s="13"/>
    </row>
    <row r="711" spans="2:31" x14ac:dyDescent="0.3">
      <c r="B711" s="41">
        <f t="shared" si="62"/>
        <v>337000</v>
      </c>
      <c r="C711" s="1">
        <f>Table1[[#This Row],[taxable wages]]</f>
        <v>337000</v>
      </c>
      <c r="D711" s="1">
        <f>Table1[[#This Row],[taxable wages]]+interest+dividends+short_term_capital_gains+long_term_capital_gains</f>
        <v>337000</v>
      </c>
      <c r="E711" s="1">
        <f>MAX(Table1[[#This Row],[earned income for EITC]:[Agi For Eitc Calc]])</f>
        <v>337000</v>
      </c>
      <c r="F711" s="1">
        <f>Table1[[#This Row],[taxable wages]]+interest+dividends+short_term_capital_gains+long_term_capital_gains-(trad_ira_contributions+MIN(student_loan_interest_cap,student_loan_interest))</f>
        <v>337000</v>
      </c>
      <c r="G711" s="1">
        <f t="shared" si="58"/>
        <v>12600</v>
      </c>
      <c r="H711" s="1">
        <f t="shared" si="59"/>
        <v>28350</v>
      </c>
      <c r="I711" s="1">
        <f>MAX(0,Table1[[#This Row],[Agi]]-Table1[[#This Row],[Exemptions]]-Table1[[#This Row],[Effective Deductions]])</f>
        <v>296050</v>
      </c>
      <c r="J71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73109.5</v>
      </c>
      <c r="K711" s="1">
        <f t="shared" si="60"/>
        <v>5000</v>
      </c>
      <c r="L711" s="1">
        <f>IF(Table1[[#This Row],[Agi]]&gt;ctc_phase_out_begins,ctc_phase_out_rate*(Table1[[#This Row],[Agi]]-ctc_phase_out_begins),0)</f>
        <v>11350</v>
      </c>
      <c r="M711" s="1">
        <f>MAX(Table1[[#This Row],[Child Tax Credit]]-Table1[[#This Row],[Child Tax Credit Phase Out]],0)</f>
        <v>0</v>
      </c>
      <c r="N711" s="1">
        <f>MAX(Table1[[#This Row],[Regular Taxes Owed]]-Table1[[#This Row],[Effective Child Tax Credit]],0)</f>
        <v>73109.5</v>
      </c>
      <c r="O711" s="1">
        <f>MAX(MIN((Table1[[#This Row],[taxable wages]]-3000)*0.15,1000*num_kids_16_younger),0)</f>
        <v>5000</v>
      </c>
      <c r="P711" s="9">
        <f>IF(Table1[[#This Row],[Effective Child Tax Credit]]&gt;Table1[[#This Row],[Regular Taxes Owed]],Table1[[#This Row],[Additional Child Tax Credit ]]-Table1[[#This Row],[Regular Taxes Owed]],0)</f>
        <v>0</v>
      </c>
      <c r="Q71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1" s="1">
        <f>Table1[[#This Row],[Effective Additional Child Tax Credit]]+Table1[[#This Row],[Eitc]]</f>
        <v>0</v>
      </c>
      <c r="S711" s="9">
        <f>Table1[[#This Row],[Regular Taxes Owed - Effective Child Tax Credit]]-Table1[[#This Row],[Total Credits]]</f>
        <v>73109.5</v>
      </c>
      <c r="T711" s="9">
        <f>Table1[[#This Row],[taxable wages]]+interest+dividends+short_term_capital_gains+long_term_capital_gains-(charitable_donations+mortgage_interest)</f>
        <v>337000</v>
      </c>
      <c r="U711" s="9">
        <f>MAX(amt_exemption-amt_exemption_phase_out_rate*MAX(Table1[[#This Row],[taxable wages]]-amt_phase_out_begins,0),0)</f>
        <v>39475</v>
      </c>
      <c r="V71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79581</v>
      </c>
      <c r="W711" s="1">
        <f>IF(AND(Table1[[#This Row],[AMT Taxes]]&gt;Table1[[#This Row],[Regular Taxes Owed]],Table1[[#This Row],[AMT Taxes]]&gt;0),Table1[[#This Row],[AMT Taxes]]-Table1[[#This Row],[Regular Taxes Owed]],0)</f>
        <v>6471.5</v>
      </c>
      <c r="X711" s="9">
        <f>Table1[[#This Row],[Extra Taxes From Amt]]+Table1[[#This Row],[Federal Taxes Owed (No AMT)]]</f>
        <v>79581</v>
      </c>
      <c r="Y711" s="9">
        <f>IF(Table1[[#This Row],[taxable wages]]&gt;obamacare_surcharge_amount,obamacare_surcharge_percent*(Table1[[#This Row],[taxable wages]]-obamacare_surcharge_amount),0)</f>
        <v>782.99999999999989</v>
      </c>
      <c r="Z711" s="9">
        <f>Table1[[#This Row],[Federal Taxes Owed (Includes AMT)]]+Table1[[#This Row],[Obamacare surcharge premium]]</f>
        <v>80364</v>
      </c>
      <c r="AA711" s="9">
        <f>Table1[[#This Row],[taxable wages]]-Table1[[#This Row],[Federal Taxes Owed2]]</f>
        <v>256636</v>
      </c>
      <c r="AB711" s="51">
        <f t="shared" si="61"/>
        <v>0.35899999999999999</v>
      </c>
      <c r="AC711" s="41"/>
      <c r="AD711" s="13"/>
      <c r="AE711" s="13"/>
    </row>
    <row r="712" spans="2:31" x14ac:dyDescent="0.3">
      <c r="B712" s="41">
        <f t="shared" si="62"/>
        <v>337500</v>
      </c>
      <c r="C712" s="1">
        <f>Table1[[#This Row],[taxable wages]]</f>
        <v>337500</v>
      </c>
      <c r="D712" s="1">
        <f>Table1[[#This Row],[taxable wages]]+interest+dividends+short_term_capital_gains+long_term_capital_gains</f>
        <v>337500</v>
      </c>
      <c r="E712" s="1">
        <f>MAX(Table1[[#This Row],[earned income for EITC]:[Agi For Eitc Calc]])</f>
        <v>337500</v>
      </c>
      <c r="F712" s="1">
        <f>Table1[[#This Row],[taxable wages]]+interest+dividends+short_term_capital_gains+long_term_capital_gains-(trad_ira_contributions+MIN(student_loan_interest_cap,student_loan_interest))</f>
        <v>337500</v>
      </c>
      <c r="G712" s="1">
        <f t="shared" si="58"/>
        <v>12600</v>
      </c>
      <c r="H712" s="1">
        <f t="shared" si="59"/>
        <v>28350</v>
      </c>
      <c r="I712" s="1">
        <f>MAX(0,Table1[[#This Row],[Agi]]-Table1[[#This Row],[Exemptions]]-Table1[[#This Row],[Effective Deductions]])</f>
        <v>296550</v>
      </c>
      <c r="J71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73274.5</v>
      </c>
      <c r="K712" s="1">
        <f t="shared" si="60"/>
        <v>5000</v>
      </c>
      <c r="L712" s="1">
        <f>IF(Table1[[#This Row],[Agi]]&gt;ctc_phase_out_begins,ctc_phase_out_rate*(Table1[[#This Row],[Agi]]-ctc_phase_out_begins),0)</f>
        <v>11375</v>
      </c>
      <c r="M712" s="1">
        <f>MAX(Table1[[#This Row],[Child Tax Credit]]-Table1[[#This Row],[Child Tax Credit Phase Out]],0)</f>
        <v>0</v>
      </c>
      <c r="N712" s="1">
        <f>MAX(Table1[[#This Row],[Regular Taxes Owed]]-Table1[[#This Row],[Effective Child Tax Credit]],0)</f>
        <v>73274.5</v>
      </c>
      <c r="O712" s="1">
        <f>MAX(MIN((Table1[[#This Row],[taxable wages]]-3000)*0.15,1000*num_kids_16_younger),0)</f>
        <v>5000</v>
      </c>
      <c r="P712" s="9">
        <f>IF(Table1[[#This Row],[Effective Child Tax Credit]]&gt;Table1[[#This Row],[Regular Taxes Owed]],Table1[[#This Row],[Additional Child Tax Credit ]]-Table1[[#This Row],[Regular Taxes Owed]],0)</f>
        <v>0</v>
      </c>
      <c r="Q71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2" s="1">
        <f>Table1[[#This Row],[Effective Additional Child Tax Credit]]+Table1[[#This Row],[Eitc]]</f>
        <v>0</v>
      </c>
      <c r="S712" s="9">
        <f>Table1[[#This Row],[Regular Taxes Owed - Effective Child Tax Credit]]-Table1[[#This Row],[Total Credits]]</f>
        <v>73274.5</v>
      </c>
      <c r="T712" s="9">
        <f>Table1[[#This Row],[taxable wages]]+interest+dividends+short_term_capital_gains+long_term_capital_gains-(charitable_donations+mortgage_interest)</f>
        <v>337500</v>
      </c>
      <c r="U712" s="9">
        <f>MAX(amt_exemption-amt_exemption_phase_out_rate*MAX(Table1[[#This Row],[taxable wages]]-amt_phase_out_begins,0),0)</f>
        <v>39350</v>
      </c>
      <c r="V71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79756</v>
      </c>
      <c r="W712" s="1">
        <f>IF(AND(Table1[[#This Row],[AMT Taxes]]&gt;Table1[[#This Row],[Regular Taxes Owed]],Table1[[#This Row],[AMT Taxes]]&gt;0),Table1[[#This Row],[AMT Taxes]]-Table1[[#This Row],[Regular Taxes Owed]],0)</f>
        <v>6481.5</v>
      </c>
      <c r="X712" s="9">
        <f>Table1[[#This Row],[Extra Taxes From Amt]]+Table1[[#This Row],[Federal Taxes Owed (No AMT)]]</f>
        <v>79756</v>
      </c>
      <c r="Y712" s="9">
        <f>IF(Table1[[#This Row],[taxable wages]]&gt;obamacare_surcharge_amount,obamacare_surcharge_percent*(Table1[[#This Row],[taxable wages]]-obamacare_surcharge_amount),0)</f>
        <v>787.49999999999989</v>
      </c>
      <c r="Z712" s="9">
        <f>Table1[[#This Row],[Federal Taxes Owed (Includes AMT)]]+Table1[[#This Row],[Obamacare surcharge premium]]</f>
        <v>80543.5</v>
      </c>
      <c r="AA712" s="9">
        <f>Table1[[#This Row],[taxable wages]]-Table1[[#This Row],[Federal Taxes Owed2]]</f>
        <v>256956.5</v>
      </c>
      <c r="AB712" s="51">
        <f t="shared" si="61"/>
        <v>0.35899999999999999</v>
      </c>
      <c r="AC712" s="41"/>
      <c r="AD712" s="13"/>
      <c r="AE712" s="13"/>
    </row>
    <row r="713" spans="2:31" x14ac:dyDescent="0.3">
      <c r="B713" s="41">
        <f t="shared" si="62"/>
        <v>338000</v>
      </c>
      <c r="C713" s="1">
        <f>Table1[[#This Row],[taxable wages]]</f>
        <v>338000</v>
      </c>
      <c r="D713" s="1">
        <f>Table1[[#This Row],[taxable wages]]+interest+dividends+short_term_capital_gains+long_term_capital_gains</f>
        <v>338000</v>
      </c>
      <c r="E713" s="1">
        <f>MAX(Table1[[#This Row],[earned income for EITC]:[Agi For Eitc Calc]])</f>
        <v>338000</v>
      </c>
      <c r="F713" s="1">
        <f>Table1[[#This Row],[taxable wages]]+interest+dividends+short_term_capital_gains+long_term_capital_gains-(trad_ira_contributions+MIN(student_loan_interest_cap,student_loan_interest))</f>
        <v>338000</v>
      </c>
      <c r="G713" s="1">
        <f t="shared" si="58"/>
        <v>12600</v>
      </c>
      <c r="H713" s="1">
        <f t="shared" si="59"/>
        <v>28350</v>
      </c>
      <c r="I713" s="1">
        <f>MAX(0,Table1[[#This Row],[Agi]]-Table1[[#This Row],[Exemptions]]-Table1[[#This Row],[Effective Deductions]])</f>
        <v>297050</v>
      </c>
      <c r="J71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73439.5</v>
      </c>
      <c r="K713" s="1">
        <f t="shared" si="60"/>
        <v>5000</v>
      </c>
      <c r="L713" s="1">
        <f>IF(Table1[[#This Row],[Agi]]&gt;ctc_phase_out_begins,ctc_phase_out_rate*(Table1[[#This Row],[Agi]]-ctc_phase_out_begins),0)</f>
        <v>11400</v>
      </c>
      <c r="M713" s="1">
        <f>MAX(Table1[[#This Row],[Child Tax Credit]]-Table1[[#This Row],[Child Tax Credit Phase Out]],0)</f>
        <v>0</v>
      </c>
      <c r="N713" s="1">
        <f>MAX(Table1[[#This Row],[Regular Taxes Owed]]-Table1[[#This Row],[Effective Child Tax Credit]],0)</f>
        <v>73439.5</v>
      </c>
      <c r="O713" s="1">
        <f>MAX(MIN((Table1[[#This Row],[taxable wages]]-3000)*0.15,1000*num_kids_16_younger),0)</f>
        <v>5000</v>
      </c>
      <c r="P713" s="9">
        <f>IF(Table1[[#This Row],[Effective Child Tax Credit]]&gt;Table1[[#This Row],[Regular Taxes Owed]],Table1[[#This Row],[Additional Child Tax Credit ]]-Table1[[#This Row],[Regular Taxes Owed]],0)</f>
        <v>0</v>
      </c>
      <c r="Q71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3" s="1">
        <f>Table1[[#This Row],[Effective Additional Child Tax Credit]]+Table1[[#This Row],[Eitc]]</f>
        <v>0</v>
      </c>
      <c r="S713" s="9">
        <f>Table1[[#This Row],[Regular Taxes Owed - Effective Child Tax Credit]]-Table1[[#This Row],[Total Credits]]</f>
        <v>73439.5</v>
      </c>
      <c r="T713" s="9">
        <f>Table1[[#This Row],[taxable wages]]+interest+dividends+short_term_capital_gains+long_term_capital_gains-(charitable_donations+mortgage_interest)</f>
        <v>338000</v>
      </c>
      <c r="U713" s="9">
        <f>MAX(amt_exemption-amt_exemption_phase_out_rate*MAX(Table1[[#This Row],[taxable wages]]-amt_phase_out_begins,0),0)</f>
        <v>39225</v>
      </c>
      <c r="V71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79931</v>
      </c>
      <c r="W713" s="1">
        <f>IF(AND(Table1[[#This Row],[AMT Taxes]]&gt;Table1[[#This Row],[Regular Taxes Owed]],Table1[[#This Row],[AMT Taxes]]&gt;0),Table1[[#This Row],[AMT Taxes]]-Table1[[#This Row],[Regular Taxes Owed]],0)</f>
        <v>6491.5</v>
      </c>
      <c r="X713" s="9">
        <f>Table1[[#This Row],[Extra Taxes From Amt]]+Table1[[#This Row],[Federal Taxes Owed (No AMT)]]</f>
        <v>79931</v>
      </c>
      <c r="Y713" s="9">
        <f>IF(Table1[[#This Row],[taxable wages]]&gt;obamacare_surcharge_amount,obamacare_surcharge_percent*(Table1[[#This Row],[taxable wages]]-obamacare_surcharge_amount),0)</f>
        <v>791.99999999999989</v>
      </c>
      <c r="Z713" s="9">
        <f>Table1[[#This Row],[Federal Taxes Owed (Includes AMT)]]+Table1[[#This Row],[Obamacare surcharge premium]]</f>
        <v>80723</v>
      </c>
      <c r="AA713" s="9">
        <f>Table1[[#This Row],[taxable wages]]-Table1[[#This Row],[Federal Taxes Owed2]]</f>
        <v>257277</v>
      </c>
      <c r="AB713" s="51">
        <f t="shared" si="61"/>
        <v>0.35899999999999999</v>
      </c>
      <c r="AC713" s="41"/>
      <c r="AD713" s="13"/>
      <c r="AE713" s="13"/>
    </row>
    <row r="714" spans="2:31" x14ac:dyDescent="0.3">
      <c r="B714" s="41">
        <f t="shared" si="62"/>
        <v>338500</v>
      </c>
      <c r="C714" s="1">
        <f>Table1[[#This Row],[taxable wages]]</f>
        <v>338500</v>
      </c>
      <c r="D714" s="1">
        <f>Table1[[#This Row],[taxable wages]]+interest+dividends+short_term_capital_gains+long_term_capital_gains</f>
        <v>338500</v>
      </c>
      <c r="E714" s="1">
        <f>MAX(Table1[[#This Row],[earned income for EITC]:[Agi For Eitc Calc]])</f>
        <v>338500</v>
      </c>
      <c r="F714" s="1">
        <f>Table1[[#This Row],[taxable wages]]+interest+dividends+short_term_capital_gains+long_term_capital_gains-(trad_ira_contributions+MIN(student_loan_interest_cap,student_loan_interest))</f>
        <v>338500</v>
      </c>
      <c r="G714" s="1">
        <f t="shared" si="58"/>
        <v>12600</v>
      </c>
      <c r="H714" s="1">
        <f t="shared" si="59"/>
        <v>28350</v>
      </c>
      <c r="I714" s="1">
        <f>MAX(0,Table1[[#This Row],[Agi]]-Table1[[#This Row],[Exemptions]]-Table1[[#This Row],[Effective Deductions]])</f>
        <v>297550</v>
      </c>
      <c r="J71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73604.5</v>
      </c>
      <c r="K714" s="1">
        <f t="shared" si="60"/>
        <v>5000</v>
      </c>
      <c r="L714" s="1">
        <f>IF(Table1[[#This Row],[Agi]]&gt;ctc_phase_out_begins,ctc_phase_out_rate*(Table1[[#This Row],[Agi]]-ctc_phase_out_begins),0)</f>
        <v>11425</v>
      </c>
      <c r="M714" s="1">
        <f>MAX(Table1[[#This Row],[Child Tax Credit]]-Table1[[#This Row],[Child Tax Credit Phase Out]],0)</f>
        <v>0</v>
      </c>
      <c r="N714" s="1">
        <f>MAX(Table1[[#This Row],[Regular Taxes Owed]]-Table1[[#This Row],[Effective Child Tax Credit]],0)</f>
        <v>73604.5</v>
      </c>
      <c r="O714" s="1">
        <f>MAX(MIN((Table1[[#This Row],[taxable wages]]-3000)*0.15,1000*num_kids_16_younger),0)</f>
        <v>5000</v>
      </c>
      <c r="P714" s="9">
        <f>IF(Table1[[#This Row],[Effective Child Tax Credit]]&gt;Table1[[#This Row],[Regular Taxes Owed]],Table1[[#This Row],[Additional Child Tax Credit ]]-Table1[[#This Row],[Regular Taxes Owed]],0)</f>
        <v>0</v>
      </c>
      <c r="Q71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4" s="1">
        <f>Table1[[#This Row],[Effective Additional Child Tax Credit]]+Table1[[#This Row],[Eitc]]</f>
        <v>0</v>
      </c>
      <c r="S714" s="9">
        <f>Table1[[#This Row],[Regular Taxes Owed - Effective Child Tax Credit]]-Table1[[#This Row],[Total Credits]]</f>
        <v>73604.5</v>
      </c>
      <c r="T714" s="9">
        <f>Table1[[#This Row],[taxable wages]]+interest+dividends+short_term_capital_gains+long_term_capital_gains-(charitable_donations+mortgage_interest)</f>
        <v>338500</v>
      </c>
      <c r="U714" s="9">
        <f>MAX(amt_exemption-amt_exemption_phase_out_rate*MAX(Table1[[#This Row],[taxable wages]]-amt_phase_out_begins,0),0)</f>
        <v>39100</v>
      </c>
      <c r="V71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80106</v>
      </c>
      <c r="W714" s="1">
        <f>IF(AND(Table1[[#This Row],[AMT Taxes]]&gt;Table1[[#This Row],[Regular Taxes Owed]],Table1[[#This Row],[AMT Taxes]]&gt;0),Table1[[#This Row],[AMT Taxes]]-Table1[[#This Row],[Regular Taxes Owed]],0)</f>
        <v>6501.5</v>
      </c>
      <c r="X714" s="9">
        <f>Table1[[#This Row],[Extra Taxes From Amt]]+Table1[[#This Row],[Federal Taxes Owed (No AMT)]]</f>
        <v>80106</v>
      </c>
      <c r="Y714" s="9">
        <f>IF(Table1[[#This Row],[taxable wages]]&gt;obamacare_surcharge_amount,obamacare_surcharge_percent*(Table1[[#This Row],[taxable wages]]-obamacare_surcharge_amount),0)</f>
        <v>796.49999999999989</v>
      </c>
      <c r="Z714" s="9">
        <f>Table1[[#This Row],[Federal Taxes Owed (Includes AMT)]]+Table1[[#This Row],[Obamacare surcharge premium]]</f>
        <v>80902.5</v>
      </c>
      <c r="AA714" s="9">
        <f>Table1[[#This Row],[taxable wages]]-Table1[[#This Row],[Federal Taxes Owed2]]</f>
        <v>257597.5</v>
      </c>
      <c r="AB714" s="51">
        <f t="shared" si="61"/>
        <v>0.35899999999999999</v>
      </c>
      <c r="AC714" s="41"/>
      <c r="AD714" s="13"/>
      <c r="AE714" s="13"/>
    </row>
    <row r="715" spans="2:31" x14ac:dyDescent="0.3">
      <c r="B715" s="41">
        <f t="shared" si="62"/>
        <v>339000</v>
      </c>
      <c r="C715" s="1">
        <f>Table1[[#This Row],[taxable wages]]</f>
        <v>339000</v>
      </c>
      <c r="D715" s="1">
        <f>Table1[[#This Row],[taxable wages]]+interest+dividends+short_term_capital_gains+long_term_capital_gains</f>
        <v>339000</v>
      </c>
      <c r="E715" s="1">
        <f>MAX(Table1[[#This Row],[earned income for EITC]:[Agi For Eitc Calc]])</f>
        <v>339000</v>
      </c>
      <c r="F715" s="1">
        <f>Table1[[#This Row],[taxable wages]]+interest+dividends+short_term_capital_gains+long_term_capital_gains-(trad_ira_contributions+MIN(student_loan_interest_cap,student_loan_interest))</f>
        <v>339000</v>
      </c>
      <c r="G715" s="1">
        <f t="shared" si="58"/>
        <v>12600</v>
      </c>
      <c r="H715" s="1">
        <f t="shared" si="59"/>
        <v>28350</v>
      </c>
      <c r="I715" s="1">
        <f>MAX(0,Table1[[#This Row],[Agi]]-Table1[[#This Row],[Exemptions]]-Table1[[#This Row],[Effective Deductions]])</f>
        <v>298050</v>
      </c>
      <c r="J71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73769.5</v>
      </c>
      <c r="K715" s="1">
        <f t="shared" si="60"/>
        <v>5000</v>
      </c>
      <c r="L715" s="1">
        <f>IF(Table1[[#This Row],[Agi]]&gt;ctc_phase_out_begins,ctc_phase_out_rate*(Table1[[#This Row],[Agi]]-ctc_phase_out_begins),0)</f>
        <v>11450</v>
      </c>
      <c r="M715" s="1">
        <f>MAX(Table1[[#This Row],[Child Tax Credit]]-Table1[[#This Row],[Child Tax Credit Phase Out]],0)</f>
        <v>0</v>
      </c>
      <c r="N715" s="1">
        <f>MAX(Table1[[#This Row],[Regular Taxes Owed]]-Table1[[#This Row],[Effective Child Tax Credit]],0)</f>
        <v>73769.5</v>
      </c>
      <c r="O715" s="1">
        <f>MAX(MIN((Table1[[#This Row],[taxable wages]]-3000)*0.15,1000*num_kids_16_younger),0)</f>
        <v>5000</v>
      </c>
      <c r="P715" s="9">
        <f>IF(Table1[[#This Row],[Effective Child Tax Credit]]&gt;Table1[[#This Row],[Regular Taxes Owed]],Table1[[#This Row],[Additional Child Tax Credit ]]-Table1[[#This Row],[Regular Taxes Owed]],0)</f>
        <v>0</v>
      </c>
      <c r="Q71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5" s="1">
        <f>Table1[[#This Row],[Effective Additional Child Tax Credit]]+Table1[[#This Row],[Eitc]]</f>
        <v>0</v>
      </c>
      <c r="S715" s="9">
        <f>Table1[[#This Row],[Regular Taxes Owed - Effective Child Tax Credit]]-Table1[[#This Row],[Total Credits]]</f>
        <v>73769.5</v>
      </c>
      <c r="T715" s="9">
        <f>Table1[[#This Row],[taxable wages]]+interest+dividends+short_term_capital_gains+long_term_capital_gains-(charitable_donations+mortgage_interest)</f>
        <v>339000</v>
      </c>
      <c r="U715" s="9">
        <f>MAX(amt_exemption-amt_exemption_phase_out_rate*MAX(Table1[[#This Row],[taxable wages]]-amt_phase_out_begins,0),0)</f>
        <v>38975</v>
      </c>
      <c r="V71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80281</v>
      </c>
      <c r="W715" s="1">
        <f>IF(AND(Table1[[#This Row],[AMT Taxes]]&gt;Table1[[#This Row],[Regular Taxes Owed]],Table1[[#This Row],[AMT Taxes]]&gt;0),Table1[[#This Row],[AMT Taxes]]-Table1[[#This Row],[Regular Taxes Owed]],0)</f>
        <v>6511.5</v>
      </c>
      <c r="X715" s="9">
        <f>Table1[[#This Row],[Extra Taxes From Amt]]+Table1[[#This Row],[Federal Taxes Owed (No AMT)]]</f>
        <v>80281</v>
      </c>
      <c r="Y715" s="9">
        <f>IF(Table1[[#This Row],[taxable wages]]&gt;obamacare_surcharge_amount,obamacare_surcharge_percent*(Table1[[#This Row],[taxable wages]]-obamacare_surcharge_amount),0)</f>
        <v>800.99999999999989</v>
      </c>
      <c r="Z715" s="9">
        <f>Table1[[#This Row],[Federal Taxes Owed (Includes AMT)]]+Table1[[#This Row],[Obamacare surcharge premium]]</f>
        <v>81082</v>
      </c>
      <c r="AA715" s="9">
        <f>Table1[[#This Row],[taxable wages]]-Table1[[#This Row],[Federal Taxes Owed2]]</f>
        <v>257918</v>
      </c>
      <c r="AB715" s="51">
        <f t="shared" si="61"/>
        <v>0.35899999999999999</v>
      </c>
      <c r="AC715" s="41"/>
      <c r="AD715" s="13"/>
      <c r="AE715" s="13"/>
    </row>
    <row r="716" spans="2:31" x14ac:dyDescent="0.3">
      <c r="B716" s="41">
        <f t="shared" si="62"/>
        <v>339500</v>
      </c>
      <c r="C716" s="1">
        <f>Table1[[#This Row],[taxable wages]]</f>
        <v>339500</v>
      </c>
      <c r="D716" s="1">
        <f>Table1[[#This Row],[taxable wages]]+interest+dividends+short_term_capital_gains+long_term_capital_gains</f>
        <v>339500</v>
      </c>
      <c r="E716" s="1">
        <f>MAX(Table1[[#This Row],[earned income for EITC]:[Agi For Eitc Calc]])</f>
        <v>339500</v>
      </c>
      <c r="F716" s="1">
        <f>Table1[[#This Row],[taxable wages]]+interest+dividends+short_term_capital_gains+long_term_capital_gains-(trad_ira_contributions+MIN(student_loan_interest_cap,student_loan_interest))</f>
        <v>339500</v>
      </c>
      <c r="G716" s="1">
        <f t="shared" si="58"/>
        <v>12600</v>
      </c>
      <c r="H716" s="1">
        <f t="shared" si="59"/>
        <v>28350</v>
      </c>
      <c r="I716" s="1">
        <f>MAX(0,Table1[[#This Row],[Agi]]-Table1[[#This Row],[Exemptions]]-Table1[[#This Row],[Effective Deductions]])</f>
        <v>298550</v>
      </c>
      <c r="J71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73934.5</v>
      </c>
      <c r="K716" s="1">
        <f t="shared" si="60"/>
        <v>5000</v>
      </c>
      <c r="L716" s="1">
        <f>IF(Table1[[#This Row],[Agi]]&gt;ctc_phase_out_begins,ctc_phase_out_rate*(Table1[[#This Row],[Agi]]-ctc_phase_out_begins),0)</f>
        <v>11475</v>
      </c>
      <c r="M716" s="1">
        <f>MAX(Table1[[#This Row],[Child Tax Credit]]-Table1[[#This Row],[Child Tax Credit Phase Out]],0)</f>
        <v>0</v>
      </c>
      <c r="N716" s="1">
        <f>MAX(Table1[[#This Row],[Regular Taxes Owed]]-Table1[[#This Row],[Effective Child Tax Credit]],0)</f>
        <v>73934.5</v>
      </c>
      <c r="O716" s="1">
        <f>MAX(MIN((Table1[[#This Row],[taxable wages]]-3000)*0.15,1000*num_kids_16_younger),0)</f>
        <v>5000</v>
      </c>
      <c r="P716" s="9">
        <f>IF(Table1[[#This Row],[Effective Child Tax Credit]]&gt;Table1[[#This Row],[Regular Taxes Owed]],Table1[[#This Row],[Additional Child Tax Credit ]]-Table1[[#This Row],[Regular Taxes Owed]],0)</f>
        <v>0</v>
      </c>
      <c r="Q71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6" s="1">
        <f>Table1[[#This Row],[Effective Additional Child Tax Credit]]+Table1[[#This Row],[Eitc]]</f>
        <v>0</v>
      </c>
      <c r="S716" s="9">
        <f>Table1[[#This Row],[Regular Taxes Owed - Effective Child Tax Credit]]-Table1[[#This Row],[Total Credits]]</f>
        <v>73934.5</v>
      </c>
      <c r="T716" s="9">
        <f>Table1[[#This Row],[taxable wages]]+interest+dividends+short_term_capital_gains+long_term_capital_gains-(charitable_donations+mortgage_interest)</f>
        <v>339500</v>
      </c>
      <c r="U716" s="9">
        <f>MAX(amt_exemption-amt_exemption_phase_out_rate*MAX(Table1[[#This Row],[taxable wages]]-amt_phase_out_begins,0),0)</f>
        <v>38850</v>
      </c>
      <c r="V71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80456</v>
      </c>
      <c r="W716" s="1">
        <f>IF(AND(Table1[[#This Row],[AMT Taxes]]&gt;Table1[[#This Row],[Regular Taxes Owed]],Table1[[#This Row],[AMT Taxes]]&gt;0),Table1[[#This Row],[AMT Taxes]]-Table1[[#This Row],[Regular Taxes Owed]],0)</f>
        <v>6521.5</v>
      </c>
      <c r="X716" s="9">
        <f>Table1[[#This Row],[Extra Taxes From Amt]]+Table1[[#This Row],[Federal Taxes Owed (No AMT)]]</f>
        <v>80456</v>
      </c>
      <c r="Y716" s="9">
        <f>IF(Table1[[#This Row],[taxable wages]]&gt;obamacare_surcharge_amount,obamacare_surcharge_percent*(Table1[[#This Row],[taxable wages]]-obamacare_surcharge_amount),0)</f>
        <v>805.49999999999989</v>
      </c>
      <c r="Z716" s="9">
        <f>Table1[[#This Row],[Federal Taxes Owed (Includes AMT)]]+Table1[[#This Row],[Obamacare surcharge premium]]</f>
        <v>81261.5</v>
      </c>
      <c r="AA716" s="9">
        <f>Table1[[#This Row],[taxable wages]]-Table1[[#This Row],[Federal Taxes Owed2]]</f>
        <v>258238.5</v>
      </c>
      <c r="AB716" s="51">
        <f t="shared" si="61"/>
        <v>0.35899999999999999</v>
      </c>
      <c r="AC716" s="41"/>
      <c r="AD716" s="13"/>
      <c r="AE716" s="13"/>
    </row>
    <row r="717" spans="2:31" x14ac:dyDescent="0.3">
      <c r="B717" s="41">
        <f t="shared" si="62"/>
        <v>340000</v>
      </c>
      <c r="C717" s="1">
        <f>Table1[[#This Row],[taxable wages]]</f>
        <v>340000</v>
      </c>
      <c r="D717" s="1">
        <f>Table1[[#This Row],[taxable wages]]+interest+dividends+short_term_capital_gains+long_term_capital_gains</f>
        <v>340000</v>
      </c>
      <c r="E717" s="1">
        <f>MAX(Table1[[#This Row],[earned income for EITC]:[Agi For Eitc Calc]])</f>
        <v>340000</v>
      </c>
      <c r="F717" s="1">
        <f>Table1[[#This Row],[taxable wages]]+interest+dividends+short_term_capital_gains+long_term_capital_gains-(trad_ira_contributions+MIN(student_loan_interest_cap,student_loan_interest))</f>
        <v>340000</v>
      </c>
      <c r="G717" s="1">
        <f t="shared" si="58"/>
        <v>12600</v>
      </c>
      <c r="H717" s="1">
        <f t="shared" si="59"/>
        <v>28350</v>
      </c>
      <c r="I717" s="1">
        <f>MAX(0,Table1[[#This Row],[Agi]]-Table1[[#This Row],[Exemptions]]-Table1[[#This Row],[Effective Deductions]])</f>
        <v>299050</v>
      </c>
      <c r="J71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74099.5</v>
      </c>
      <c r="K717" s="1">
        <f t="shared" si="60"/>
        <v>5000</v>
      </c>
      <c r="L717" s="1">
        <f>IF(Table1[[#This Row],[Agi]]&gt;ctc_phase_out_begins,ctc_phase_out_rate*(Table1[[#This Row],[Agi]]-ctc_phase_out_begins),0)</f>
        <v>11500</v>
      </c>
      <c r="M717" s="1">
        <f>MAX(Table1[[#This Row],[Child Tax Credit]]-Table1[[#This Row],[Child Tax Credit Phase Out]],0)</f>
        <v>0</v>
      </c>
      <c r="N717" s="1">
        <f>MAX(Table1[[#This Row],[Regular Taxes Owed]]-Table1[[#This Row],[Effective Child Tax Credit]],0)</f>
        <v>74099.5</v>
      </c>
      <c r="O717" s="1">
        <f>MAX(MIN((Table1[[#This Row],[taxable wages]]-3000)*0.15,1000*num_kids_16_younger),0)</f>
        <v>5000</v>
      </c>
      <c r="P717" s="9">
        <f>IF(Table1[[#This Row],[Effective Child Tax Credit]]&gt;Table1[[#This Row],[Regular Taxes Owed]],Table1[[#This Row],[Additional Child Tax Credit ]]-Table1[[#This Row],[Regular Taxes Owed]],0)</f>
        <v>0</v>
      </c>
      <c r="Q71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7" s="1">
        <f>Table1[[#This Row],[Effective Additional Child Tax Credit]]+Table1[[#This Row],[Eitc]]</f>
        <v>0</v>
      </c>
      <c r="S717" s="9">
        <f>Table1[[#This Row],[Regular Taxes Owed - Effective Child Tax Credit]]-Table1[[#This Row],[Total Credits]]</f>
        <v>74099.5</v>
      </c>
      <c r="T717" s="9">
        <f>Table1[[#This Row],[taxable wages]]+interest+dividends+short_term_capital_gains+long_term_capital_gains-(charitable_donations+mortgage_interest)</f>
        <v>340000</v>
      </c>
      <c r="U717" s="9">
        <f>MAX(amt_exemption-amt_exemption_phase_out_rate*MAX(Table1[[#This Row],[taxable wages]]-amt_phase_out_begins,0),0)</f>
        <v>38725</v>
      </c>
      <c r="V71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80631</v>
      </c>
      <c r="W717" s="1">
        <f>IF(AND(Table1[[#This Row],[AMT Taxes]]&gt;Table1[[#This Row],[Regular Taxes Owed]],Table1[[#This Row],[AMT Taxes]]&gt;0),Table1[[#This Row],[AMT Taxes]]-Table1[[#This Row],[Regular Taxes Owed]],0)</f>
        <v>6531.5</v>
      </c>
      <c r="X717" s="9">
        <f>Table1[[#This Row],[Extra Taxes From Amt]]+Table1[[#This Row],[Federal Taxes Owed (No AMT)]]</f>
        <v>80631</v>
      </c>
      <c r="Y717" s="9">
        <f>IF(Table1[[#This Row],[taxable wages]]&gt;obamacare_surcharge_amount,obamacare_surcharge_percent*(Table1[[#This Row],[taxable wages]]-obamacare_surcharge_amount),0)</f>
        <v>809.99999999999989</v>
      </c>
      <c r="Z717" s="9">
        <f>Table1[[#This Row],[Federal Taxes Owed (Includes AMT)]]+Table1[[#This Row],[Obamacare surcharge premium]]</f>
        <v>81441</v>
      </c>
      <c r="AA717" s="9">
        <f>Table1[[#This Row],[taxable wages]]-Table1[[#This Row],[Federal Taxes Owed2]]</f>
        <v>258559</v>
      </c>
      <c r="AB717" s="51">
        <f t="shared" si="61"/>
        <v>0.35899999999999999</v>
      </c>
      <c r="AC717" s="41"/>
      <c r="AD717" s="13"/>
      <c r="AE717" s="13"/>
    </row>
    <row r="718" spans="2:31" x14ac:dyDescent="0.3">
      <c r="B718" s="41">
        <f t="shared" si="62"/>
        <v>340500</v>
      </c>
      <c r="C718" s="1">
        <f>Table1[[#This Row],[taxable wages]]</f>
        <v>340500</v>
      </c>
      <c r="D718" s="1">
        <f>Table1[[#This Row],[taxable wages]]+interest+dividends+short_term_capital_gains+long_term_capital_gains</f>
        <v>340500</v>
      </c>
      <c r="E718" s="1">
        <f>MAX(Table1[[#This Row],[earned income for EITC]:[Agi For Eitc Calc]])</f>
        <v>340500</v>
      </c>
      <c r="F718" s="1">
        <f>Table1[[#This Row],[taxable wages]]+interest+dividends+short_term_capital_gains+long_term_capital_gains-(trad_ira_contributions+MIN(student_loan_interest_cap,student_loan_interest))</f>
        <v>340500</v>
      </c>
      <c r="G718" s="1">
        <f t="shared" si="58"/>
        <v>12600</v>
      </c>
      <c r="H718" s="1">
        <f t="shared" si="59"/>
        <v>28350</v>
      </c>
      <c r="I718" s="1">
        <f>MAX(0,Table1[[#This Row],[Agi]]-Table1[[#This Row],[Exemptions]]-Table1[[#This Row],[Effective Deductions]])</f>
        <v>299550</v>
      </c>
      <c r="J71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74264.5</v>
      </c>
      <c r="K718" s="1">
        <f t="shared" si="60"/>
        <v>5000</v>
      </c>
      <c r="L718" s="1">
        <f>IF(Table1[[#This Row],[Agi]]&gt;ctc_phase_out_begins,ctc_phase_out_rate*(Table1[[#This Row],[Agi]]-ctc_phase_out_begins),0)</f>
        <v>11525</v>
      </c>
      <c r="M718" s="1">
        <f>MAX(Table1[[#This Row],[Child Tax Credit]]-Table1[[#This Row],[Child Tax Credit Phase Out]],0)</f>
        <v>0</v>
      </c>
      <c r="N718" s="1">
        <f>MAX(Table1[[#This Row],[Regular Taxes Owed]]-Table1[[#This Row],[Effective Child Tax Credit]],0)</f>
        <v>74264.5</v>
      </c>
      <c r="O718" s="1">
        <f>MAX(MIN((Table1[[#This Row],[taxable wages]]-3000)*0.15,1000*num_kids_16_younger),0)</f>
        <v>5000</v>
      </c>
      <c r="P718" s="9">
        <f>IF(Table1[[#This Row],[Effective Child Tax Credit]]&gt;Table1[[#This Row],[Regular Taxes Owed]],Table1[[#This Row],[Additional Child Tax Credit ]]-Table1[[#This Row],[Regular Taxes Owed]],0)</f>
        <v>0</v>
      </c>
      <c r="Q71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8" s="1">
        <f>Table1[[#This Row],[Effective Additional Child Tax Credit]]+Table1[[#This Row],[Eitc]]</f>
        <v>0</v>
      </c>
      <c r="S718" s="9">
        <f>Table1[[#This Row],[Regular Taxes Owed - Effective Child Tax Credit]]-Table1[[#This Row],[Total Credits]]</f>
        <v>74264.5</v>
      </c>
      <c r="T718" s="9">
        <f>Table1[[#This Row],[taxable wages]]+interest+dividends+short_term_capital_gains+long_term_capital_gains-(charitable_donations+mortgage_interest)</f>
        <v>340500</v>
      </c>
      <c r="U718" s="9">
        <f>MAX(amt_exemption-amt_exemption_phase_out_rate*MAX(Table1[[#This Row],[taxable wages]]-amt_phase_out_begins,0),0)</f>
        <v>38600</v>
      </c>
      <c r="V71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80806</v>
      </c>
      <c r="W718" s="1">
        <f>IF(AND(Table1[[#This Row],[AMT Taxes]]&gt;Table1[[#This Row],[Regular Taxes Owed]],Table1[[#This Row],[AMT Taxes]]&gt;0),Table1[[#This Row],[AMT Taxes]]-Table1[[#This Row],[Regular Taxes Owed]],0)</f>
        <v>6541.5</v>
      </c>
      <c r="X718" s="9">
        <f>Table1[[#This Row],[Extra Taxes From Amt]]+Table1[[#This Row],[Federal Taxes Owed (No AMT)]]</f>
        <v>80806</v>
      </c>
      <c r="Y718" s="9">
        <f>IF(Table1[[#This Row],[taxable wages]]&gt;obamacare_surcharge_amount,obamacare_surcharge_percent*(Table1[[#This Row],[taxable wages]]-obamacare_surcharge_amount),0)</f>
        <v>814.49999999999989</v>
      </c>
      <c r="Z718" s="9">
        <f>Table1[[#This Row],[Federal Taxes Owed (Includes AMT)]]+Table1[[#This Row],[Obamacare surcharge premium]]</f>
        <v>81620.5</v>
      </c>
      <c r="AA718" s="9">
        <f>Table1[[#This Row],[taxable wages]]-Table1[[#This Row],[Federal Taxes Owed2]]</f>
        <v>258879.5</v>
      </c>
      <c r="AB718" s="51">
        <f t="shared" si="61"/>
        <v>0.35899999999999999</v>
      </c>
      <c r="AC718" s="41"/>
      <c r="AD718" s="13"/>
      <c r="AE718" s="13"/>
    </row>
    <row r="719" spans="2:31" x14ac:dyDescent="0.3">
      <c r="B719" s="41">
        <f t="shared" si="62"/>
        <v>341000</v>
      </c>
      <c r="C719" s="1">
        <f>Table1[[#This Row],[taxable wages]]</f>
        <v>341000</v>
      </c>
      <c r="D719" s="1">
        <f>Table1[[#This Row],[taxable wages]]+interest+dividends+short_term_capital_gains+long_term_capital_gains</f>
        <v>341000</v>
      </c>
      <c r="E719" s="1">
        <f>MAX(Table1[[#This Row],[earned income for EITC]:[Agi For Eitc Calc]])</f>
        <v>341000</v>
      </c>
      <c r="F719" s="1">
        <f>Table1[[#This Row],[taxable wages]]+interest+dividends+short_term_capital_gains+long_term_capital_gains-(trad_ira_contributions+MIN(student_loan_interest_cap,student_loan_interest))</f>
        <v>341000</v>
      </c>
      <c r="G719" s="1">
        <f t="shared" si="58"/>
        <v>12600</v>
      </c>
      <c r="H719" s="1">
        <f t="shared" si="59"/>
        <v>28350</v>
      </c>
      <c r="I719" s="1">
        <f>MAX(0,Table1[[#This Row],[Agi]]-Table1[[#This Row],[Exemptions]]-Table1[[#This Row],[Effective Deductions]])</f>
        <v>300050</v>
      </c>
      <c r="J71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74429.5</v>
      </c>
      <c r="K719" s="1">
        <f t="shared" si="60"/>
        <v>5000</v>
      </c>
      <c r="L719" s="1">
        <f>IF(Table1[[#This Row],[Agi]]&gt;ctc_phase_out_begins,ctc_phase_out_rate*(Table1[[#This Row],[Agi]]-ctc_phase_out_begins),0)</f>
        <v>11550</v>
      </c>
      <c r="M719" s="1">
        <f>MAX(Table1[[#This Row],[Child Tax Credit]]-Table1[[#This Row],[Child Tax Credit Phase Out]],0)</f>
        <v>0</v>
      </c>
      <c r="N719" s="1">
        <f>MAX(Table1[[#This Row],[Regular Taxes Owed]]-Table1[[#This Row],[Effective Child Tax Credit]],0)</f>
        <v>74429.5</v>
      </c>
      <c r="O719" s="1">
        <f>MAX(MIN((Table1[[#This Row],[taxable wages]]-3000)*0.15,1000*num_kids_16_younger),0)</f>
        <v>5000</v>
      </c>
      <c r="P719" s="9">
        <f>IF(Table1[[#This Row],[Effective Child Tax Credit]]&gt;Table1[[#This Row],[Regular Taxes Owed]],Table1[[#This Row],[Additional Child Tax Credit ]]-Table1[[#This Row],[Regular Taxes Owed]],0)</f>
        <v>0</v>
      </c>
      <c r="Q71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19" s="1">
        <f>Table1[[#This Row],[Effective Additional Child Tax Credit]]+Table1[[#This Row],[Eitc]]</f>
        <v>0</v>
      </c>
      <c r="S719" s="9">
        <f>Table1[[#This Row],[Regular Taxes Owed - Effective Child Tax Credit]]-Table1[[#This Row],[Total Credits]]</f>
        <v>74429.5</v>
      </c>
      <c r="T719" s="9">
        <f>Table1[[#This Row],[taxable wages]]+interest+dividends+short_term_capital_gains+long_term_capital_gains-(charitable_donations+mortgage_interest)</f>
        <v>341000</v>
      </c>
      <c r="U719" s="9">
        <f>MAX(amt_exemption-amt_exemption_phase_out_rate*MAX(Table1[[#This Row],[taxable wages]]-amt_phase_out_begins,0),0)</f>
        <v>38475</v>
      </c>
      <c r="V71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80981</v>
      </c>
      <c r="W719" s="1">
        <f>IF(AND(Table1[[#This Row],[AMT Taxes]]&gt;Table1[[#This Row],[Regular Taxes Owed]],Table1[[#This Row],[AMT Taxes]]&gt;0),Table1[[#This Row],[AMT Taxes]]-Table1[[#This Row],[Regular Taxes Owed]],0)</f>
        <v>6551.5</v>
      </c>
      <c r="X719" s="9">
        <f>Table1[[#This Row],[Extra Taxes From Amt]]+Table1[[#This Row],[Federal Taxes Owed (No AMT)]]</f>
        <v>80981</v>
      </c>
      <c r="Y719" s="9">
        <f>IF(Table1[[#This Row],[taxable wages]]&gt;obamacare_surcharge_amount,obamacare_surcharge_percent*(Table1[[#This Row],[taxable wages]]-obamacare_surcharge_amount),0)</f>
        <v>818.99999999999989</v>
      </c>
      <c r="Z719" s="9">
        <f>Table1[[#This Row],[Federal Taxes Owed (Includes AMT)]]+Table1[[#This Row],[Obamacare surcharge premium]]</f>
        <v>81800</v>
      </c>
      <c r="AA719" s="9">
        <f>Table1[[#This Row],[taxable wages]]-Table1[[#This Row],[Federal Taxes Owed2]]</f>
        <v>259200</v>
      </c>
      <c r="AB719" s="51">
        <f t="shared" si="61"/>
        <v>0.35899999999999999</v>
      </c>
      <c r="AC719" s="41"/>
      <c r="AD719" s="13"/>
      <c r="AE719" s="13"/>
    </row>
    <row r="720" spans="2:31" x14ac:dyDescent="0.3">
      <c r="B720" s="41">
        <f t="shared" si="62"/>
        <v>341500</v>
      </c>
      <c r="C720" s="1">
        <f>Table1[[#This Row],[taxable wages]]</f>
        <v>341500</v>
      </c>
      <c r="D720" s="1">
        <f>Table1[[#This Row],[taxable wages]]+interest+dividends+short_term_capital_gains+long_term_capital_gains</f>
        <v>341500</v>
      </c>
      <c r="E720" s="1">
        <f>MAX(Table1[[#This Row],[earned income for EITC]:[Agi For Eitc Calc]])</f>
        <v>341500</v>
      </c>
      <c r="F720" s="1">
        <f>Table1[[#This Row],[taxable wages]]+interest+dividends+short_term_capital_gains+long_term_capital_gains-(trad_ira_contributions+MIN(student_loan_interest_cap,student_loan_interest))</f>
        <v>341500</v>
      </c>
      <c r="G720" s="1">
        <f t="shared" si="58"/>
        <v>12600</v>
      </c>
      <c r="H720" s="1">
        <f t="shared" si="59"/>
        <v>28350</v>
      </c>
      <c r="I720" s="1">
        <f>MAX(0,Table1[[#This Row],[Agi]]-Table1[[#This Row],[Exemptions]]-Table1[[#This Row],[Effective Deductions]])</f>
        <v>300550</v>
      </c>
      <c r="J72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74594.5</v>
      </c>
      <c r="K720" s="1">
        <f t="shared" si="60"/>
        <v>5000</v>
      </c>
      <c r="L720" s="1">
        <f>IF(Table1[[#This Row],[Agi]]&gt;ctc_phase_out_begins,ctc_phase_out_rate*(Table1[[#This Row],[Agi]]-ctc_phase_out_begins),0)</f>
        <v>11575</v>
      </c>
      <c r="M720" s="1">
        <f>MAX(Table1[[#This Row],[Child Tax Credit]]-Table1[[#This Row],[Child Tax Credit Phase Out]],0)</f>
        <v>0</v>
      </c>
      <c r="N720" s="1">
        <f>MAX(Table1[[#This Row],[Regular Taxes Owed]]-Table1[[#This Row],[Effective Child Tax Credit]],0)</f>
        <v>74594.5</v>
      </c>
      <c r="O720" s="1">
        <f>MAX(MIN((Table1[[#This Row],[taxable wages]]-3000)*0.15,1000*num_kids_16_younger),0)</f>
        <v>5000</v>
      </c>
      <c r="P720" s="9">
        <f>IF(Table1[[#This Row],[Effective Child Tax Credit]]&gt;Table1[[#This Row],[Regular Taxes Owed]],Table1[[#This Row],[Additional Child Tax Credit ]]-Table1[[#This Row],[Regular Taxes Owed]],0)</f>
        <v>0</v>
      </c>
      <c r="Q72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0" s="1">
        <f>Table1[[#This Row],[Effective Additional Child Tax Credit]]+Table1[[#This Row],[Eitc]]</f>
        <v>0</v>
      </c>
      <c r="S720" s="9">
        <f>Table1[[#This Row],[Regular Taxes Owed - Effective Child Tax Credit]]-Table1[[#This Row],[Total Credits]]</f>
        <v>74594.5</v>
      </c>
      <c r="T720" s="9">
        <f>Table1[[#This Row],[taxable wages]]+interest+dividends+short_term_capital_gains+long_term_capital_gains-(charitable_donations+mortgage_interest)</f>
        <v>341500</v>
      </c>
      <c r="U720" s="9">
        <f>MAX(amt_exemption-amt_exemption_phase_out_rate*MAX(Table1[[#This Row],[taxable wages]]-amt_phase_out_begins,0),0)</f>
        <v>38350</v>
      </c>
      <c r="V72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81156</v>
      </c>
      <c r="W720" s="1">
        <f>IF(AND(Table1[[#This Row],[AMT Taxes]]&gt;Table1[[#This Row],[Regular Taxes Owed]],Table1[[#This Row],[AMT Taxes]]&gt;0),Table1[[#This Row],[AMT Taxes]]-Table1[[#This Row],[Regular Taxes Owed]],0)</f>
        <v>6561.5</v>
      </c>
      <c r="X720" s="9">
        <f>Table1[[#This Row],[Extra Taxes From Amt]]+Table1[[#This Row],[Federal Taxes Owed (No AMT)]]</f>
        <v>81156</v>
      </c>
      <c r="Y720" s="9">
        <f>IF(Table1[[#This Row],[taxable wages]]&gt;obamacare_surcharge_amount,obamacare_surcharge_percent*(Table1[[#This Row],[taxable wages]]-obamacare_surcharge_amount),0)</f>
        <v>823.49999999999989</v>
      </c>
      <c r="Z720" s="9">
        <f>Table1[[#This Row],[Federal Taxes Owed (Includes AMT)]]+Table1[[#This Row],[Obamacare surcharge premium]]</f>
        <v>81979.5</v>
      </c>
      <c r="AA720" s="9">
        <f>Table1[[#This Row],[taxable wages]]-Table1[[#This Row],[Federal Taxes Owed2]]</f>
        <v>259520.5</v>
      </c>
      <c r="AB720" s="51">
        <f t="shared" si="61"/>
        <v>0.35899999999999999</v>
      </c>
      <c r="AC720" s="41"/>
      <c r="AD720" s="13"/>
      <c r="AE720" s="13"/>
    </row>
    <row r="721" spans="2:31" x14ac:dyDescent="0.3">
      <c r="B721" s="41">
        <f t="shared" si="62"/>
        <v>342000</v>
      </c>
      <c r="C721" s="1">
        <f>Table1[[#This Row],[taxable wages]]</f>
        <v>342000</v>
      </c>
      <c r="D721" s="1">
        <f>Table1[[#This Row],[taxable wages]]+interest+dividends+short_term_capital_gains+long_term_capital_gains</f>
        <v>342000</v>
      </c>
      <c r="E721" s="1">
        <f>MAX(Table1[[#This Row],[earned income for EITC]:[Agi For Eitc Calc]])</f>
        <v>342000</v>
      </c>
      <c r="F721" s="1">
        <f>Table1[[#This Row],[taxable wages]]+interest+dividends+short_term_capital_gains+long_term_capital_gains-(trad_ira_contributions+MIN(student_loan_interest_cap,student_loan_interest))</f>
        <v>342000</v>
      </c>
      <c r="G721" s="1">
        <f t="shared" si="58"/>
        <v>12600</v>
      </c>
      <c r="H721" s="1">
        <f t="shared" si="59"/>
        <v>28350</v>
      </c>
      <c r="I721" s="1">
        <f>MAX(0,Table1[[#This Row],[Agi]]-Table1[[#This Row],[Exemptions]]-Table1[[#This Row],[Effective Deductions]])</f>
        <v>301050</v>
      </c>
      <c r="J72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74759.5</v>
      </c>
      <c r="K721" s="1">
        <f t="shared" si="60"/>
        <v>5000</v>
      </c>
      <c r="L721" s="1">
        <f>IF(Table1[[#This Row],[Agi]]&gt;ctc_phase_out_begins,ctc_phase_out_rate*(Table1[[#This Row],[Agi]]-ctc_phase_out_begins),0)</f>
        <v>11600</v>
      </c>
      <c r="M721" s="1">
        <f>MAX(Table1[[#This Row],[Child Tax Credit]]-Table1[[#This Row],[Child Tax Credit Phase Out]],0)</f>
        <v>0</v>
      </c>
      <c r="N721" s="1">
        <f>MAX(Table1[[#This Row],[Regular Taxes Owed]]-Table1[[#This Row],[Effective Child Tax Credit]],0)</f>
        <v>74759.5</v>
      </c>
      <c r="O721" s="1">
        <f>MAX(MIN((Table1[[#This Row],[taxable wages]]-3000)*0.15,1000*num_kids_16_younger),0)</f>
        <v>5000</v>
      </c>
      <c r="P721" s="9">
        <f>IF(Table1[[#This Row],[Effective Child Tax Credit]]&gt;Table1[[#This Row],[Regular Taxes Owed]],Table1[[#This Row],[Additional Child Tax Credit ]]-Table1[[#This Row],[Regular Taxes Owed]],0)</f>
        <v>0</v>
      </c>
      <c r="Q72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1" s="1">
        <f>Table1[[#This Row],[Effective Additional Child Tax Credit]]+Table1[[#This Row],[Eitc]]</f>
        <v>0</v>
      </c>
      <c r="S721" s="9">
        <f>Table1[[#This Row],[Regular Taxes Owed - Effective Child Tax Credit]]-Table1[[#This Row],[Total Credits]]</f>
        <v>74759.5</v>
      </c>
      <c r="T721" s="9">
        <f>Table1[[#This Row],[taxable wages]]+interest+dividends+short_term_capital_gains+long_term_capital_gains-(charitable_donations+mortgage_interest)</f>
        <v>342000</v>
      </c>
      <c r="U721" s="9">
        <f>MAX(amt_exemption-amt_exemption_phase_out_rate*MAX(Table1[[#This Row],[taxable wages]]-amt_phase_out_begins,0),0)</f>
        <v>38225</v>
      </c>
      <c r="V72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81331</v>
      </c>
      <c r="W721" s="1">
        <f>IF(AND(Table1[[#This Row],[AMT Taxes]]&gt;Table1[[#This Row],[Regular Taxes Owed]],Table1[[#This Row],[AMT Taxes]]&gt;0),Table1[[#This Row],[AMT Taxes]]-Table1[[#This Row],[Regular Taxes Owed]],0)</f>
        <v>6571.5</v>
      </c>
      <c r="X721" s="9">
        <f>Table1[[#This Row],[Extra Taxes From Amt]]+Table1[[#This Row],[Federal Taxes Owed (No AMT)]]</f>
        <v>81331</v>
      </c>
      <c r="Y721" s="9">
        <f>IF(Table1[[#This Row],[taxable wages]]&gt;obamacare_surcharge_amount,obamacare_surcharge_percent*(Table1[[#This Row],[taxable wages]]-obamacare_surcharge_amount),0)</f>
        <v>827.99999999999989</v>
      </c>
      <c r="Z721" s="9">
        <f>Table1[[#This Row],[Federal Taxes Owed (Includes AMT)]]+Table1[[#This Row],[Obamacare surcharge premium]]</f>
        <v>82159</v>
      </c>
      <c r="AA721" s="9">
        <f>Table1[[#This Row],[taxable wages]]-Table1[[#This Row],[Federal Taxes Owed2]]</f>
        <v>259841</v>
      </c>
      <c r="AB721" s="51">
        <f t="shared" si="61"/>
        <v>0.35899999999999999</v>
      </c>
      <c r="AC721" s="41"/>
      <c r="AD721" s="13"/>
      <c r="AE721" s="13"/>
    </row>
    <row r="722" spans="2:31" x14ac:dyDescent="0.3">
      <c r="B722" s="41">
        <f t="shared" si="62"/>
        <v>342500</v>
      </c>
      <c r="C722" s="1">
        <f>Table1[[#This Row],[taxable wages]]</f>
        <v>342500</v>
      </c>
      <c r="D722" s="1">
        <f>Table1[[#This Row],[taxable wages]]+interest+dividends+short_term_capital_gains+long_term_capital_gains</f>
        <v>342500</v>
      </c>
      <c r="E722" s="1">
        <f>MAX(Table1[[#This Row],[earned income for EITC]:[Agi For Eitc Calc]])</f>
        <v>342500</v>
      </c>
      <c r="F722" s="1">
        <f>Table1[[#This Row],[taxable wages]]+interest+dividends+short_term_capital_gains+long_term_capital_gains-(trad_ira_contributions+MIN(student_loan_interest_cap,student_loan_interest))</f>
        <v>342500</v>
      </c>
      <c r="G722" s="1">
        <f t="shared" si="58"/>
        <v>12600</v>
      </c>
      <c r="H722" s="1">
        <f t="shared" si="59"/>
        <v>28350</v>
      </c>
      <c r="I722" s="1">
        <f>MAX(0,Table1[[#This Row],[Agi]]-Table1[[#This Row],[Exemptions]]-Table1[[#This Row],[Effective Deductions]])</f>
        <v>301550</v>
      </c>
      <c r="J72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74924.5</v>
      </c>
      <c r="K722" s="1">
        <f t="shared" si="60"/>
        <v>5000</v>
      </c>
      <c r="L722" s="1">
        <f>IF(Table1[[#This Row],[Agi]]&gt;ctc_phase_out_begins,ctc_phase_out_rate*(Table1[[#This Row],[Agi]]-ctc_phase_out_begins),0)</f>
        <v>11625</v>
      </c>
      <c r="M722" s="1">
        <f>MAX(Table1[[#This Row],[Child Tax Credit]]-Table1[[#This Row],[Child Tax Credit Phase Out]],0)</f>
        <v>0</v>
      </c>
      <c r="N722" s="1">
        <f>MAX(Table1[[#This Row],[Regular Taxes Owed]]-Table1[[#This Row],[Effective Child Tax Credit]],0)</f>
        <v>74924.5</v>
      </c>
      <c r="O722" s="1">
        <f>MAX(MIN((Table1[[#This Row],[taxable wages]]-3000)*0.15,1000*num_kids_16_younger),0)</f>
        <v>5000</v>
      </c>
      <c r="P722" s="9">
        <f>IF(Table1[[#This Row],[Effective Child Tax Credit]]&gt;Table1[[#This Row],[Regular Taxes Owed]],Table1[[#This Row],[Additional Child Tax Credit ]]-Table1[[#This Row],[Regular Taxes Owed]],0)</f>
        <v>0</v>
      </c>
      <c r="Q72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2" s="1">
        <f>Table1[[#This Row],[Effective Additional Child Tax Credit]]+Table1[[#This Row],[Eitc]]</f>
        <v>0</v>
      </c>
      <c r="S722" s="9">
        <f>Table1[[#This Row],[Regular Taxes Owed - Effective Child Tax Credit]]-Table1[[#This Row],[Total Credits]]</f>
        <v>74924.5</v>
      </c>
      <c r="T722" s="9">
        <f>Table1[[#This Row],[taxable wages]]+interest+dividends+short_term_capital_gains+long_term_capital_gains-(charitable_donations+mortgage_interest)</f>
        <v>342500</v>
      </c>
      <c r="U722" s="9">
        <f>MAX(amt_exemption-amt_exemption_phase_out_rate*MAX(Table1[[#This Row],[taxable wages]]-amt_phase_out_begins,0),0)</f>
        <v>38100</v>
      </c>
      <c r="V72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81506</v>
      </c>
      <c r="W722" s="1">
        <f>IF(AND(Table1[[#This Row],[AMT Taxes]]&gt;Table1[[#This Row],[Regular Taxes Owed]],Table1[[#This Row],[AMT Taxes]]&gt;0),Table1[[#This Row],[AMT Taxes]]-Table1[[#This Row],[Regular Taxes Owed]],0)</f>
        <v>6581.5</v>
      </c>
      <c r="X722" s="9">
        <f>Table1[[#This Row],[Extra Taxes From Amt]]+Table1[[#This Row],[Federal Taxes Owed (No AMT)]]</f>
        <v>81506</v>
      </c>
      <c r="Y722" s="9">
        <f>IF(Table1[[#This Row],[taxable wages]]&gt;obamacare_surcharge_amount,obamacare_surcharge_percent*(Table1[[#This Row],[taxable wages]]-obamacare_surcharge_amount),0)</f>
        <v>832.49999999999989</v>
      </c>
      <c r="Z722" s="9">
        <f>Table1[[#This Row],[Federal Taxes Owed (Includes AMT)]]+Table1[[#This Row],[Obamacare surcharge premium]]</f>
        <v>82338.5</v>
      </c>
      <c r="AA722" s="9">
        <f>Table1[[#This Row],[taxable wages]]-Table1[[#This Row],[Federal Taxes Owed2]]</f>
        <v>260161.5</v>
      </c>
      <c r="AB722" s="51">
        <f t="shared" si="61"/>
        <v>0.35899999999999999</v>
      </c>
      <c r="AC722" s="41"/>
      <c r="AD722" s="13"/>
      <c r="AE722" s="13"/>
    </row>
    <row r="723" spans="2:31" x14ac:dyDescent="0.3">
      <c r="B723" s="41">
        <f t="shared" si="62"/>
        <v>343000</v>
      </c>
      <c r="C723" s="1">
        <f>Table1[[#This Row],[taxable wages]]</f>
        <v>343000</v>
      </c>
      <c r="D723" s="1">
        <f>Table1[[#This Row],[taxable wages]]+interest+dividends+short_term_capital_gains+long_term_capital_gains</f>
        <v>343000</v>
      </c>
      <c r="E723" s="1">
        <f>MAX(Table1[[#This Row],[earned income for EITC]:[Agi For Eitc Calc]])</f>
        <v>343000</v>
      </c>
      <c r="F723" s="1">
        <f>Table1[[#This Row],[taxable wages]]+interest+dividends+short_term_capital_gains+long_term_capital_gains-(trad_ira_contributions+MIN(student_loan_interest_cap,student_loan_interest))</f>
        <v>343000</v>
      </c>
      <c r="G723" s="1">
        <f t="shared" si="58"/>
        <v>12600</v>
      </c>
      <c r="H723" s="1">
        <f t="shared" si="59"/>
        <v>28350</v>
      </c>
      <c r="I723" s="1">
        <f>MAX(0,Table1[[#This Row],[Agi]]-Table1[[#This Row],[Exemptions]]-Table1[[#This Row],[Effective Deductions]])</f>
        <v>302050</v>
      </c>
      <c r="J72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75089.5</v>
      </c>
      <c r="K723" s="1">
        <f t="shared" si="60"/>
        <v>5000</v>
      </c>
      <c r="L723" s="1">
        <f>IF(Table1[[#This Row],[Agi]]&gt;ctc_phase_out_begins,ctc_phase_out_rate*(Table1[[#This Row],[Agi]]-ctc_phase_out_begins),0)</f>
        <v>11650</v>
      </c>
      <c r="M723" s="1">
        <f>MAX(Table1[[#This Row],[Child Tax Credit]]-Table1[[#This Row],[Child Tax Credit Phase Out]],0)</f>
        <v>0</v>
      </c>
      <c r="N723" s="1">
        <f>MAX(Table1[[#This Row],[Regular Taxes Owed]]-Table1[[#This Row],[Effective Child Tax Credit]],0)</f>
        <v>75089.5</v>
      </c>
      <c r="O723" s="1">
        <f>MAX(MIN((Table1[[#This Row],[taxable wages]]-3000)*0.15,1000*num_kids_16_younger),0)</f>
        <v>5000</v>
      </c>
      <c r="P723" s="9">
        <f>IF(Table1[[#This Row],[Effective Child Tax Credit]]&gt;Table1[[#This Row],[Regular Taxes Owed]],Table1[[#This Row],[Additional Child Tax Credit ]]-Table1[[#This Row],[Regular Taxes Owed]],0)</f>
        <v>0</v>
      </c>
      <c r="Q72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3" s="1">
        <f>Table1[[#This Row],[Effective Additional Child Tax Credit]]+Table1[[#This Row],[Eitc]]</f>
        <v>0</v>
      </c>
      <c r="S723" s="9">
        <f>Table1[[#This Row],[Regular Taxes Owed - Effective Child Tax Credit]]-Table1[[#This Row],[Total Credits]]</f>
        <v>75089.5</v>
      </c>
      <c r="T723" s="9">
        <f>Table1[[#This Row],[taxable wages]]+interest+dividends+short_term_capital_gains+long_term_capital_gains-(charitable_donations+mortgage_interest)</f>
        <v>343000</v>
      </c>
      <c r="U723" s="9">
        <f>MAX(amt_exemption-amt_exemption_phase_out_rate*MAX(Table1[[#This Row],[taxable wages]]-amt_phase_out_begins,0),0)</f>
        <v>37975</v>
      </c>
      <c r="V72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81681</v>
      </c>
      <c r="W723" s="1">
        <f>IF(AND(Table1[[#This Row],[AMT Taxes]]&gt;Table1[[#This Row],[Regular Taxes Owed]],Table1[[#This Row],[AMT Taxes]]&gt;0),Table1[[#This Row],[AMT Taxes]]-Table1[[#This Row],[Regular Taxes Owed]],0)</f>
        <v>6591.5</v>
      </c>
      <c r="X723" s="9">
        <f>Table1[[#This Row],[Extra Taxes From Amt]]+Table1[[#This Row],[Federal Taxes Owed (No AMT)]]</f>
        <v>81681</v>
      </c>
      <c r="Y723" s="9">
        <f>IF(Table1[[#This Row],[taxable wages]]&gt;obamacare_surcharge_amount,obamacare_surcharge_percent*(Table1[[#This Row],[taxable wages]]-obamacare_surcharge_amount),0)</f>
        <v>836.99999999999989</v>
      </c>
      <c r="Z723" s="9">
        <f>Table1[[#This Row],[Federal Taxes Owed (Includes AMT)]]+Table1[[#This Row],[Obamacare surcharge premium]]</f>
        <v>82518</v>
      </c>
      <c r="AA723" s="9">
        <f>Table1[[#This Row],[taxable wages]]-Table1[[#This Row],[Federal Taxes Owed2]]</f>
        <v>260482</v>
      </c>
      <c r="AB723" s="51">
        <f t="shared" si="61"/>
        <v>0.35899999999999999</v>
      </c>
      <c r="AC723" s="41"/>
      <c r="AD723" s="13"/>
      <c r="AE723" s="13"/>
    </row>
    <row r="724" spans="2:31" x14ac:dyDescent="0.3">
      <c r="B724" s="41">
        <f t="shared" si="62"/>
        <v>343500</v>
      </c>
      <c r="C724" s="1">
        <f>Table1[[#This Row],[taxable wages]]</f>
        <v>343500</v>
      </c>
      <c r="D724" s="1">
        <f>Table1[[#This Row],[taxable wages]]+interest+dividends+short_term_capital_gains+long_term_capital_gains</f>
        <v>343500</v>
      </c>
      <c r="E724" s="1">
        <f>MAX(Table1[[#This Row],[earned income for EITC]:[Agi For Eitc Calc]])</f>
        <v>343500</v>
      </c>
      <c r="F724" s="1">
        <f>Table1[[#This Row],[taxable wages]]+interest+dividends+short_term_capital_gains+long_term_capital_gains-(trad_ira_contributions+MIN(student_loan_interest_cap,student_loan_interest))</f>
        <v>343500</v>
      </c>
      <c r="G724" s="1">
        <f t="shared" si="58"/>
        <v>12600</v>
      </c>
      <c r="H724" s="1">
        <f t="shared" si="59"/>
        <v>28350</v>
      </c>
      <c r="I724" s="1">
        <f>MAX(0,Table1[[#This Row],[Agi]]-Table1[[#This Row],[Exemptions]]-Table1[[#This Row],[Effective Deductions]])</f>
        <v>302550</v>
      </c>
      <c r="J72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75254.5</v>
      </c>
      <c r="K724" s="1">
        <f t="shared" si="60"/>
        <v>5000</v>
      </c>
      <c r="L724" s="1">
        <f>IF(Table1[[#This Row],[Agi]]&gt;ctc_phase_out_begins,ctc_phase_out_rate*(Table1[[#This Row],[Agi]]-ctc_phase_out_begins),0)</f>
        <v>11675</v>
      </c>
      <c r="M724" s="1">
        <f>MAX(Table1[[#This Row],[Child Tax Credit]]-Table1[[#This Row],[Child Tax Credit Phase Out]],0)</f>
        <v>0</v>
      </c>
      <c r="N724" s="1">
        <f>MAX(Table1[[#This Row],[Regular Taxes Owed]]-Table1[[#This Row],[Effective Child Tax Credit]],0)</f>
        <v>75254.5</v>
      </c>
      <c r="O724" s="1">
        <f>MAX(MIN((Table1[[#This Row],[taxable wages]]-3000)*0.15,1000*num_kids_16_younger),0)</f>
        <v>5000</v>
      </c>
      <c r="P724" s="9">
        <f>IF(Table1[[#This Row],[Effective Child Tax Credit]]&gt;Table1[[#This Row],[Regular Taxes Owed]],Table1[[#This Row],[Additional Child Tax Credit ]]-Table1[[#This Row],[Regular Taxes Owed]],0)</f>
        <v>0</v>
      </c>
      <c r="Q72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4" s="1">
        <f>Table1[[#This Row],[Effective Additional Child Tax Credit]]+Table1[[#This Row],[Eitc]]</f>
        <v>0</v>
      </c>
      <c r="S724" s="9">
        <f>Table1[[#This Row],[Regular Taxes Owed - Effective Child Tax Credit]]-Table1[[#This Row],[Total Credits]]</f>
        <v>75254.5</v>
      </c>
      <c r="T724" s="9">
        <f>Table1[[#This Row],[taxable wages]]+interest+dividends+short_term_capital_gains+long_term_capital_gains-(charitable_donations+mortgage_interest)</f>
        <v>343500</v>
      </c>
      <c r="U724" s="9">
        <f>MAX(amt_exemption-amt_exemption_phase_out_rate*MAX(Table1[[#This Row],[taxable wages]]-amt_phase_out_begins,0),0)</f>
        <v>37850</v>
      </c>
      <c r="V72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81856</v>
      </c>
      <c r="W724" s="1">
        <f>IF(AND(Table1[[#This Row],[AMT Taxes]]&gt;Table1[[#This Row],[Regular Taxes Owed]],Table1[[#This Row],[AMT Taxes]]&gt;0),Table1[[#This Row],[AMT Taxes]]-Table1[[#This Row],[Regular Taxes Owed]],0)</f>
        <v>6601.5</v>
      </c>
      <c r="X724" s="9">
        <f>Table1[[#This Row],[Extra Taxes From Amt]]+Table1[[#This Row],[Federal Taxes Owed (No AMT)]]</f>
        <v>81856</v>
      </c>
      <c r="Y724" s="9">
        <f>IF(Table1[[#This Row],[taxable wages]]&gt;obamacare_surcharge_amount,obamacare_surcharge_percent*(Table1[[#This Row],[taxable wages]]-obamacare_surcharge_amount),0)</f>
        <v>841.49999999999989</v>
      </c>
      <c r="Z724" s="9">
        <f>Table1[[#This Row],[Federal Taxes Owed (Includes AMT)]]+Table1[[#This Row],[Obamacare surcharge premium]]</f>
        <v>82697.5</v>
      </c>
      <c r="AA724" s="9">
        <f>Table1[[#This Row],[taxable wages]]-Table1[[#This Row],[Federal Taxes Owed2]]</f>
        <v>260802.5</v>
      </c>
      <c r="AB724" s="51">
        <f t="shared" si="61"/>
        <v>0.35899999999999999</v>
      </c>
      <c r="AC724" s="41"/>
      <c r="AD724" s="13"/>
      <c r="AE724" s="13"/>
    </row>
    <row r="725" spans="2:31" x14ac:dyDescent="0.3">
      <c r="B725" s="41">
        <f t="shared" si="62"/>
        <v>344000</v>
      </c>
      <c r="C725" s="1">
        <f>Table1[[#This Row],[taxable wages]]</f>
        <v>344000</v>
      </c>
      <c r="D725" s="1">
        <f>Table1[[#This Row],[taxable wages]]+interest+dividends+short_term_capital_gains+long_term_capital_gains</f>
        <v>344000</v>
      </c>
      <c r="E725" s="1">
        <f>MAX(Table1[[#This Row],[earned income for EITC]:[Agi For Eitc Calc]])</f>
        <v>344000</v>
      </c>
      <c r="F725" s="1">
        <f>Table1[[#This Row],[taxable wages]]+interest+dividends+short_term_capital_gains+long_term_capital_gains-(trad_ira_contributions+MIN(student_loan_interest_cap,student_loan_interest))</f>
        <v>344000</v>
      </c>
      <c r="G725" s="1">
        <f t="shared" si="58"/>
        <v>12600</v>
      </c>
      <c r="H725" s="1">
        <f t="shared" si="59"/>
        <v>28350</v>
      </c>
      <c r="I725" s="1">
        <f>MAX(0,Table1[[#This Row],[Agi]]-Table1[[#This Row],[Exemptions]]-Table1[[#This Row],[Effective Deductions]])</f>
        <v>303050</v>
      </c>
      <c r="J72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75419.5</v>
      </c>
      <c r="K725" s="1">
        <f t="shared" si="60"/>
        <v>5000</v>
      </c>
      <c r="L725" s="1">
        <f>IF(Table1[[#This Row],[Agi]]&gt;ctc_phase_out_begins,ctc_phase_out_rate*(Table1[[#This Row],[Agi]]-ctc_phase_out_begins),0)</f>
        <v>11700</v>
      </c>
      <c r="M725" s="1">
        <f>MAX(Table1[[#This Row],[Child Tax Credit]]-Table1[[#This Row],[Child Tax Credit Phase Out]],0)</f>
        <v>0</v>
      </c>
      <c r="N725" s="1">
        <f>MAX(Table1[[#This Row],[Regular Taxes Owed]]-Table1[[#This Row],[Effective Child Tax Credit]],0)</f>
        <v>75419.5</v>
      </c>
      <c r="O725" s="1">
        <f>MAX(MIN((Table1[[#This Row],[taxable wages]]-3000)*0.15,1000*num_kids_16_younger),0)</f>
        <v>5000</v>
      </c>
      <c r="P725" s="9">
        <f>IF(Table1[[#This Row],[Effective Child Tax Credit]]&gt;Table1[[#This Row],[Regular Taxes Owed]],Table1[[#This Row],[Additional Child Tax Credit ]]-Table1[[#This Row],[Regular Taxes Owed]],0)</f>
        <v>0</v>
      </c>
      <c r="Q72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5" s="1">
        <f>Table1[[#This Row],[Effective Additional Child Tax Credit]]+Table1[[#This Row],[Eitc]]</f>
        <v>0</v>
      </c>
      <c r="S725" s="9">
        <f>Table1[[#This Row],[Regular Taxes Owed - Effective Child Tax Credit]]-Table1[[#This Row],[Total Credits]]</f>
        <v>75419.5</v>
      </c>
      <c r="T725" s="9">
        <f>Table1[[#This Row],[taxable wages]]+interest+dividends+short_term_capital_gains+long_term_capital_gains-(charitable_donations+mortgage_interest)</f>
        <v>344000</v>
      </c>
      <c r="U725" s="9">
        <f>MAX(amt_exemption-amt_exemption_phase_out_rate*MAX(Table1[[#This Row],[taxable wages]]-amt_phase_out_begins,0),0)</f>
        <v>37725</v>
      </c>
      <c r="V72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82031</v>
      </c>
      <c r="W725" s="1">
        <f>IF(AND(Table1[[#This Row],[AMT Taxes]]&gt;Table1[[#This Row],[Regular Taxes Owed]],Table1[[#This Row],[AMT Taxes]]&gt;0),Table1[[#This Row],[AMT Taxes]]-Table1[[#This Row],[Regular Taxes Owed]],0)</f>
        <v>6611.5</v>
      </c>
      <c r="X725" s="9">
        <f>Table1[[#This Row],[Extra Taxes From Amt]]+Table1[[#This Row],[Federal Taxes Owed (No AMT)]]</f>
        <v>82031</v>
      </c>
      <c r="Y725" s="9">
        <f>IF(Table1[[#This Row],[taxable wages]]&gt;obamacare_surcharge_amount,obamacare_surcharge_percent*(Table1[[#This Row],[taxable wages]]-obamacare_surcharge_amount),0)</f>
        <v>845.99999999999989</v>
      </c>
      <c r="Z725" s="9">
        <f>Table1[[#This Row],[Federal Taxes Owed (Includes AMT)]]+Table1[[#This Row],[Obamacare surcharge premium]]</f>
        <v>82877</v>
      </c>
      <c r="AA725" s="9">
        <f>Table1[[#This Row],[taxable wages]]-Table1[[#This Row],[Federal Taxes Owed2]]</f>
        <v>261123</v>
      </c>
      <c r="AB725" s="51">
        <f t="shared" si="61"/>
        <v>0.35899999999999999</v>
      </c>
      <c r="AC725" s="41"/>
      <c r="AD725" s="13"/>
      <c r="AE725" s="13"/>
    </row>
    <row r="726" spans="2:31" x14ac:dyDescent="0.3">
      <c r="B726" s="41">
        <f t="shared" si="62"/>
        <v>344500</v>
      </c>
      <c r="C726" s="1">
        <f>Table1[[#This Row],[taxable wages]]</f>
        <v>344500</v>
      </c>
      <c r="D726" s="1">
        <f>Table1[[#This Row],[taxable wages]]+interest+dividends+short_term_capital_gains+long_term_capital_gains</f>
        <v>344500</v>
      </c>
      <c r="E726" s="1">
        <f>MAX(Table1[[#This Row],[earned income for EITC]:[Agi For Eitc Calc]])</f>
        <v>344500</v>
      </c>
      <c r="F726" s="1">
        <f>Table1[[#This Row],[taxable wages]]+interest+dividends+short_term_capital_gains+long_term_capital_gains-(trad_ira_contributions+MIN(student_loan_interest_cap,student_loan_interest))</f>
        <v>344500</v>
      </c>
      <c r="G726" s="1">
        <f t="shared" si="58"/>
        <v>12600</v>
      </c>
      <c r="H726" s="1">
        <f t="shared" si="59"/>
        <v>28350</v>
      </c>
      <c r="I726" s="1">
        <f>MAX(0,Table1[[#This Row],[Agi]]-Table1[[#This Row],[Exemptions]]-Table1[[#This Row],[Effective Deductions]])</f>
        <v>303550</v>
      </c>
      <c r="J72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75584.5</v>
      </c>
      <c r="K726" s="1">
        <f t="shared" si="60"/>
        <v>5000</v>
      </c>
      <c r="L726" s="1">
        <f>IF(Table1[[#This Row],[Agi]]&gt;ctc_phase_out_begins,ctc_phase_out_rate*(Table1[[#This Row],[Agi]]-ctc_phase_out_begins),0)</f>
        <v>11725</v>
      </c>
      <c r="M726" s="1">
        <f>MAX(Table1[[#This Row],[Child Tax Credit]]-Table1[[#This Row],[Child Tax Credit Phase Out]],0)</f>
        <v>0</v>
      </c>
      <c r="N726" s="1">
        <f>MAX(Table1[[#This Row],[Regular Taxes Owed]]-Table1[[#This Row],[Effective Child Tax Credit]],0)</f>
        <v>75584.5</v>
      </c>
      <c r="O726" s="1">
        <f>MAX(MIN((Table1[[#This Row],[taxable wages]]-3000)*0.15,1000*num_kids_16_younger),0)</f>
        <v>5000</v>
      </c>
      <c r="P726" s="9">
        <f>IF(Table1[[#This Row],[Effective Child Tax Credit]]&gt;Table1[[#This Row],[Regular Taxes Owed]],Table1[[#This Row],[Additional Child Tax Credit ]]-Table1[[#This Row],[Regular Taxes Owed]],0)</f>
        <v>0</v>
      </c>
      <c r="Q72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6" s="1">
        <f>Table1[[#This Row],[Effective Additional Child Tax Credit]]+Table1[[#This Row],[Eitc]]</f>
        <v>0</v>
      </c>
      <c r="S726" s="9">
        <f>Table1[[#This Row],[Regular Taxes Owed - Effective Child Tax Credit]]-Table1[[#This Row],[Total Credits]]</f>
        <v>75584.5</v>
      </c>
      <c r="T726" s="9">
        <f>Table1[[#This Row],[taxable wages]]+interest+dividends+short_term_capital_gains+long_term_capital_gains-(charitable_donations+mortgage_interest)</f>
        <v>344500</v>
      </c>
      <c r="U726" s="9">
        <f>MAX(amt_exemption-amt_exemption_phase_out_rate*MAX(Table1[[#This Row],[taxable wages]]-amt_phase_out_begins,0),0)</f>
        <v>37600</v>
      </c>
      <c r="V72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82206</v>
      </c>
      <c r="W726" s="1">
        <f>IF(AND(Table1[[#This Row],[AMT Taxes]]&gt;Table1[[#This Row],[Regular Taxes Owed]],Table1[[#This Row],[AMT Taxes]]&gt;0),Table1[[#This Row],[AMT Taxes]]-Table1[[#This Row],[Regular Taxes Owed]],0)</f>
        <v>6621.5</v>
      </c>
      <c r="X726" s="9">
        <f>Table1[[#This Row],[Extra Taxes From Amt]]+Table1[[#This Row],[Federal Taxes Owed (No AMT)]]</f>
        <v>82206</v>
      </c>
      <c r="Y726" s="9">
        <f>IF(Table1[[#This Row],[taxable wages]]&gt;obamacare_surcharge_amount,obamacare_surcharge_percent*(Table1[[#This Row],[taxable wages]]-obamacare_surcharge_amount),0)</f>
        <v>850.49999999999989</v>
      </c>
      <c r="Z726" s="9">
        <f>Table1[[#This Row],[Federal Taxes Owed (Includes AMT)]]+Table1[[#This Row],[Obamacare surcharge premium]]</f>
        <v>83056.5</v>
      </c>
      <c r="AA726" s="9">
        <f>Table1[[#This Row],[taxable wages]]-Table1[[#This Row],[Federal Taxes Owed2]]</f>
        <v>261443.5</v>
      </c>
      <c r="AB726" s="51">
        <f t="shared" si="61"/>
        <v>0.35899999999999999</v>
      </c>
      <c r="AC726" s="41"/>
      <c r="AD726" s="13"/>
      <c r="AE726" s="13"/>
    </row>
    <row r="727" spans="2:31" x14ac:dyDescent="0.3">
      <c r="B727" s="41">
        <f t="shared" si="62"/>
        <v>345000</v>
      </c>
      <c r="C727" s="1">
        <f>Table1[[#This Row],[taxable wages]]</f>
        <v>345000</v>
      </c>
      <c r="D727" s="1">
        <f>Table1[[#This Row],[taxable wages]]+interest+dividends+short_term_capital_gains+long_term_capital_gains</f>
        <v>345000</v>
      </c>
      <c r="E727" s="1">
        <f>MAX(Table1[[#This Row],[earned income for EITC]:[Agi For Eitc Calc]])</f>
        <v>345000</v>
      </c>
      <c r="F727" s="1">
        <f>Table1[[#This Row],[taxable wages]]+interest+dividends+short_term_capital_gains+long_term_capital_gains-(trad_ira_contributions+MIN(student_loan_interest_cap,student_loan_interest))</f>
        <v>345000</v>
      </c>
      <c r="G727" s="1">
        <f t="shared" si="58"/>
        <v>12600</v>
      </c>
      <c r="H727" s="1">
        <f t="shared" si="59"/>
        <v>28350</v>
      </c>
      <c r="I727" s="1">
        <f>MAX(0,Table1[[#This Row],[Agi]]-Table1[[#This Row],[Exemptions]]-Table1[[#This Row],[Effective Deductions]])</f>
        <v>304050</v>
      </c>
      <c r="J72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75749.5</v>
      </c>
      <c r="K727" s="1">
        <f t="shared" si="60"/>
        <v>5000</v>
      </c>
      <c r="L727" s="1">
        <f>IF(Table1[[#This Row],[Agi]]&gt;ctc_phase_out_begins,ctc_phase_out_rate*(Table1[[#This Row],[Agi]]-ctc_phase_out_begins),0)</f>
        <v>11750</v>
      </c>
      <c r="M727" s="1">
        <f>MAX(Table1[[#This Row],[Child Tax Credit]]-Table1[[#This Row],[Child Tax Credit Phase Out]],0)</f>
        <v>0</v>
      </c>
      <c r="N727" s="1">
        <f>MAX(Table1[[#This Row],[Regular Taxes Owed]]-Table1[[#This Row],[Effective Child Tax Credit]],0)</f>
        <v>75749.5</v>
      </c>
      <c r="O727" s="1">
        <f>MAX(MIN((Table1[[#This Row],[taxable wages]]-3000)*0.15,1000*num_kids_16_younger),0)</f>
        <v>5000</v>
      </c>
      <c r="P727" s="9">
        <f>IF(Table1[[#This Row],[Effective Child Tax Credit]]&gt;Table1[[#This Row],[Regular Taxes Owed]],Table1[[#This Row],[Additional Child Tax Credit ]]-Table1[[#This Row],[Regular Taxes Owed]],0)</f>
        <v>0</v>
      </c>
      <c r="Q72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7" s="1">
        <f>Table1[[#This Row],[Effective Additional Child Tax Credit]]+Table1[[#This Row],[Eitc]]</f>
        <v>0</v>
      </c>
      <c r="S727" s="9">
        <f>Table1[[#This Row],[Regular Taxes Owed - Effective Child Tax Credit]]-Table1[[#This Row],[Total Credits]]</f>
        <v>75749.5</v>
      </c>
      <c r="T727" s="9">
        <f>Table1[[#This Row],[taxable wages]]+interest+dividends+short_term_capital_gains+long_term_capital_gains-(charitable_donations+mortgage_interest)</f>
        <v>345000</v>
      </c>
      <c r="U727" s="9">
        <f>MAX(amt_exemption-amt_exemption_phase_out_rate*MAX(Table1[[#This Row],[taxable wages]]-amt_phase_out_begins,0),0)</f>
        <v>37475</v>
      </c>
      <c r="V72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82381</v>
      </c>
      <c r="W727" s="1">
        <f>IF(AND(Table1[[#This Row],[AMT Taxes]]&gt;Table1[[#This Row],[Regular Taxes Owed]],Table1[[#This Row],[AMT Taxes]]&gt;0),Table1[[#This Row],[AMT Taxes]]-Table1[[#This Row],[Regular Taxes Owed]],0)</f>
        <v>6631.5</v>
      </c>
      <c r="X727" s="9">
        <f>Table1[[#This Row],[Extra Taxes From Amt]]+Table1[[#This Row],[Federal Taxes Owed (No AMT)]]</f>
        <v>82381</v>
      </c>
      <c r="Y727" s="9">
        <f>IF(Table1[[#This Row],[taxable wages]]&gt;obamacare_surcharge_amount,obamacare_surcharge_percent*(Table1[[#This Row],[taxable wages]]-obamacare_surcharge_amount),0)</f>
        <v>854.99999999999989</v>
      </c>
      <c r="Z727" s="9">
        <f>Table1[[#This Row],[Federal Taxes Owed (Includes AMT)]]+Table1[[#This Row],[Obamacare surcharge premium]]</f>
        <v>83236</v>
      </c>
      <c r="AA727" s="9">
        <f>Table1[[#This Row],[taxable wages]]-Table1[[#This Row],[Federal Taxes Owed2]]</f>
        <v>261764</v>
      </c>
      <c r="AB727" s="51">
        <f t="shared" si="61"/>
        <v>0.35899999999999999</v>
      </c>
      <c r="AC727" s="41"/>
      <c r="AD727" s="13"/>
      <c r="AE727" s="13"/>
    </row>
    <row r="728" spans="2:31" x14ac:dyDescent="0.3">
      <c r="B728" s="41">
        <f t="shared" si="62"/>
        <v>345500</v>
      </c>
      <c r="C728" s="1">
        <f>Table1[[#This Row],[taxable wages]]</f>
        <v>345500</v>
      </c>
      <c r="D728" s="1">
        <f>Table1[[#This Row],[taxable wages]]+interest+dividends+short_term_capital_gains+long_term_capital_gains</f>
        <v>345500</v>
      </c>
      <c r="E728" s="1">
        <f>MAX(Table1[[#This Row],[earned income for EITC]:[Agi For Eitc Calc]])</f>
        <v>345500</v>
      </c>
      <c r="F728" s="1">
        <f>Table1[[#This Row],[taxable wages]]+interest+dividends+short_term_capital_gains+long_term_capital_gains-(trad_ira_contributions+MIN(student_loan_interest_cap,student_loan_interest))</f>
        <v>345500</v>
      </c>
      <c r="G728" s="1">
        <f t="shared" si="58"/>
        <v>12600</v>
      </c>
      <c r="H728" s="1">
        <f t="shared" si="59"/>
        <v>28350</v>
      </c>
      <c r="I728" s="1">
        <f>MAX(0,Table1[[#This Row],[Agi]]-Table1[[#This Row],[Exemptions]]-Table1[[#This Row],[Effective Deductions]])</f>
        <v>304550</v>
      </c>
      <c r="J72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75914.5</v>
      </c>
      <c r="K728" s="1">
        <f t="shared" si="60"/>
        <v>5000</v>
      </c>
      <c r="L728" s="1">
        <f>IF(Table1[[#This Row],[Agi]]&gt;ctc_phase_out_begins,ctc_phase_out_rate*(Table1[[#This Row],[Agi]]-ctc_phase_out_begins),0)</f>
        <v>11775</v>
      </c>
      <c r="M728" s="1">
        <f>MAX(Table1[[#This Row],[Child Tax Credit]]-Table1[[#This Row],[Child Tax Credit Phase Out]],0)</f>
        <v>0</v>
      </c>
      <c r="N728" s="1">
        <f>MAX(Table1[[#This Row],[Regular Taxes Owed]]-Table1[[#This Row],[Effective Child Tax Credit]],0)</f>
        <v>75914.5</v>
      </c>
      <c r="O728" s="1">
        <f>MAX(MIN((Table1[[#This Row],[taxable wages]]-3000)*0.15,1000*num_kids_16_younger),0)</f>
        <v>5000</v>
      </c>
      <c r="P728" s="9">
        <f>IF(Table1[[#This Row],[Effective Child Tax Credit]]&gt;Table1[[#This Row],[Regular Taxes Owed]],Table1[[#This Row],[Additional Child Tax Credit ]]-Table1[[#This Row],[Regular Taxes Owed]],0)</f>
        <v>0</v>
      </c>
      <c r="Q72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8" s="1">
        <f>Table1[[#This Row],[Effective Additional Child Tax Credit]]+Table1[[#This Row],[Eitc]]</f>
        <v>0</v>
      </c>
      <c r="S728" s="9">
        <f>Table1[[#This Row],[Regular Taxes Owed - Effective Child Tax Credit]]-Table1[[#This Row],[Total Credits]]</f>
        <v>75914.5</v>
      </c>
      <c r="T728" s="9">
        <f>Table1[[#This Row],[taxable wages]]+interest+dividends+short_term_capital_gains+long_term_capital_gains-(charitable_donations+mortgage_interest)</f>
        <v>345500</v>
      </c>
      <c r="U728" s="9">
        <f>MAX(amt_exemption-amt_exemption_phase_out_rate*MAX(Table1[[#This Row],[taxable wages]]-amt_phase_out_begins,0),0)</f>
        <v>37350</v>
      </c>
      <c r="V72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82556</v>
      </c>
      <c r="W728" s="1">
        <f>IF(AND(Table1[[#This Row],[AMT Taxes]]&gt;Table1[[#This Row],[Regular Taxes Owed]],Table1[[#This Row],[AMT Taxes]]&gt;0),Table1[[#This Row],[AMT Taxes]]-Table1[[#This Row],[Regular Taxes Owed]],0)</f>
        <v>6641.5</v>
      </c>
      <c r="X728" s="9">
        <f>Table1[[#This Row],[Extra Taxes From Amt]]+Table1[[#This Row],[Federal Taxes Owed (No AMT)]]</f>
        <v>82556</v>
      </c>
      <c r="Y728" s="9">
        <f>IF(Table1[[#This Row],[taxable wages]]&gt;obamacare_surcharge_amount,obamacare_surcharge_percent*(Table1[[#This Row],[taxable wages]]-obamacare_surcharge_amount),0)</f>
        <v>859.49999999999989</v>
      </c>
      <c r="Z728" s="9">
        <f>Table1[[#This Row],[Federal Taxes Owed (Includes AMT)]]+Table1[[#This Row],[Obamacare surcharge premium]]</f>
        <v>83415.5</v>
      </c>
      <c r="AA728" s="9">
        <f>Table1[[#This Row],[taxable wages]]-Table1[[#This Row],[Federal Taxes Owed2]]</f>
        <v>262084.5</v>
      </c>
      <c r="AB728" s="51">
        <f t="shared" si="61"/>
        <v>0.35899999999999999</v>
      </c>
      <c r="AC728" s="41"/>
      <c r="AD728" s="13"/>
      <c r="AE728" s="13"/>
    </row>
    <row r="729" spans="2:31" x14ac:dyDescent="0.3">
      <c r="B729" s="41">
        <f t="shared" si="62"/>
        <v>346000</v>
      </c>
      <c r="C729" s="1">
        <f>Table1[[#This Row],[taxable wages]]</f>
        <v>346000</v>
      </c>
      <c r="D729" s="1">
        <f>Table1[[#This Row],[taxable wages]]+interest+dividends+short_term_capital_gains+long_term_capital_gains</f>
        <v>346000</v>
      </c>
      <c r="E729" s="1">
        <f>MAX(Table1[[#This Row],[earned income for EITC]:[Agi For Eitc Calc]])</f>
        <v>346000</v>
      </c>
      <c r="F729" s="1">
        <f>Table1[[#This Row],[taxable wages]]+interest+dividends+short_term_capital_gains+long_term_capital_gains-(trad_ira_contributions+MIN(student_loan_interest_cap,student_loan_interest))</f>
        <v>346000</v>
      </c>
      <c r="G729" s="1">
        <f t="shared" si="58"/>
        <v>12600</v>
      </c>
      <c r="H729" s="1">
        <f t="shared" si="59"/>
        <v>28350</v>
      </c>
      <c r="I729" s="1">
        <f>MAX(0,Table1[[#This Row],[Agi]]-Table1[[#This Row],[Exemptions]]-Table1[[#This Row],[Effective Deductions]])</f>
        <v>305050</v>
      </c>
      <c r="J72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76079.5</v>
      </c>
      <c r="K729" s="1">
        <f t="shared" si="60"/>
        <v>5000</v>
      </c>
      <c r="L729" s="1">
        <f>IF(Table1[[#This Row],[Agi]]&gt;ctc_phase_out_begins,ctc_phase_out_rate*(Table1[[#This Row],[Agi]]-ctc_phase_out_begins),0)</f>
        <v>11800</v>
      </c>
      <c r="M729" s="1">
        <f>MAX(Table1[[#This Row],[Child Tax Credit]]-Table1[[#This Row],[Child Tax Credit Phase Out]],0)</f>
        <v>0</v>
      </c>
      <c r="N729" s="1">
        <f>MAX(Table1[[#This Row],[Regular Taxes Owed]]-Table1[[#This Row],[Effective Child Tax Credit]],0)</f>
        <v>76079.5</v>
      </c>
      <c r="O729" s="1">
        <f>MAX(MIN((Table1[[#This Row],[taxable wages]]-3000)*0.15,1000*num_kids_16_younger),0)</f>
        <v>5000</v>
      </c>
      <c r="P729" s="9">
        <f>IF(Table1[[#This Row],[Effective Child Tax Credit]]&gt;Table1[[#This Row],[Regular Taxes Owed]],Table1[[#This Row],[Additional Child Tax Credit ]]-Table1[[#This Row],[Regular Taxes Owed]],0)</f>
        <v>0</v>
      </c>
      <c r="Q72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29" s="1">
        <f>Table1[[#This Row],[Effective Additional Child Tax Credit]]+Table1[[#This Row],[Eitc]]</f>
        <v>0</v>
      </c>
      <c r="S729" s="9">
        <f>Table1[[#This Row],[Regular Taxes Owed - Effective Child Tax Credit]]-Table1[[#This Row],[Total Credits]]</f>
        <v>76079.5</v>
      </c>
      <c r="T729" s="9">
        <f>Table1[[#This Row],[taxable wages]]+interest+dividends+short_term_capital_gains+long_term_capital_gains-(charitable_donations+mortgage_interest)</f>
        <v>346000</v>
      </c>
      <c r="U729" s="9">
        <f>MAX(amt_exemption-amt_exemption_phase_out_rate*MAX(Table1[[#This Row],[taxable wages]]-amt_phase_out_begins,0),0)</f>
        <v>37225</v>
      </c>
      <c r="V72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82731</v>
      </c>
      <c r="W729" s="1">
        <f>IF(AND(Table1[[#This Row],[AMT Taxes]]&gt;Table1[[#This Row],[Regular Taxes Owed]],Table1[[#This Row],[AMT Taxes]]&gt;0),Table1[[#This Row],[AMT Taxes]]-Table1[[#This Row],[Regular Taxes Owed]],0)</f>
        <v>6651.5</v>
      </c>
      <c r="X729" s="9">
        <f>Table1[[#This Row],[Extra Taxes From Amt]]+Table1[[#This Row],[Federal Taxes Owed (No AMT)]]</f>
        <v>82731</v>
      </c>
      <c r="Y729" s="9">
        <f>IF(Table1[[#This Row],[taxable wages]]&gt;obamacare_surcharge_amount,obamacare_surcharge_percent*(Table1[[#This Row],[taxable wages]]-obamacare_surcharge_amount),0)</f>
        <v>863.99999999999989</v>
      </c>
      <c r="Z729" s="9">
        <f>Table1[[#This Row],[Federal Taxes Owed (Includes AMT)]]+Table1[[#This Row],[Obamacare surcharge premium]]</f>
        <v>83595</v>
      </c>
      <c r="AA729" s="9">
        <f>Table1[[#This Row],[taxable wages]]-Table1[[#This Row],[Federal Taxes Owed2]]</f>
        <v>262405</v>
      </c>
      <c r="AB729" s="51">
        <f t="shared" si="61"/>
        <v>0.35899999999999999</v>
      </c>
      <c r="AC729" s="41"/>
      <c r="AD729" s="13"/>
      <c r="AE729" s="13"/>
    </row>
    <row r="730" spans="2:31" x14ac:dyDescent="0.3">
      <c r="B730" s="41">
        <f t="shared" si="62"/>
        <v>346500</v>
      </c>
      <c r="C730" s="1">
        <f>Table1[[#This Row],[taxable wages]]</f>
        <v>346500</v>
      </c>
      <c r="D730" s="1">
        <f>Table1[[#This Row],[taxable wages]]+interest+dividends+short_term_capital_gains+long_term_capital_gains</f>
        <v>346500</v>
      </c>
      <c r="E730" s="1">
        <f>MAX(Table1[[#This Row],[earned income for EITC]:[Agi For Eitc Calc]])</f>
        <v>346500</v>
      </c>
      <c r="F730" s="1">
        <f>Table1[[#This Row],[taxable wages]]+interest+dividends+short_term_capital_gains+long_term_capital_gains-(trad_ira_contributions+MIN(student_loan_interest_cap,student_loan_interest))</f>
        <v>346500</v>
      </c>
      <c r="G730" s="1">
        <f t="shared" si="58"/>
        <v>12600</v>
      </c>
      <c r="H730" s="1">
        <f t="shared" si="59"/>
        <v>28350</v>
      </c>
      <c r="I730" s="1">
        <f>MAX(0,Table1[[#This Row],[Agi]]-Table1[[#This Row],[Exemptions]]-Table1[[#This Row],[Effective Deductions]])</f>
        <v>305550</v>
      </c>
      <c r="J73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76244.5</v>
      </c>
      <c r="K730" s="1">
        <f t="shared" si="60"/>
        <v>5000</v>
      </c>
      <c r="L730" s="1">
        <f>IF(Table1[[#This Row],[Agi]]&gt;ctc_phase_out_begins,ctc_phase_out_rate*(Table1[[#This Row],[Agi]]-ctc_phase_out_begins),0)</f>
        <v>11825</v>
      </c>
      <c r="M730" s="1">
        <f>MAX(Table1[[#This Row],[Child Tax Credit]]-Table1[[#This Row],[Child Tax Credit Phase Out]],0)</f>
        <v>0</v>
      </c>
      <c r="N730" s="1">
        <f>MAX(Table1[[#This Row],[Regular Taxes Owed]]-Table1[[#This Row],[Effective Child Tax Credit]],0)</f>
        <v>76244.5</v>
      </c>
      <c r="O730" s="1">
        <f>MAX(MIN((Table1[[#This Row],[taxable wages]]-3000)*0.15,1000*num_kids_16_younger),0)</f>
        <v>5000</v>
      </c>
      <c r="P730" s="9">
        <f>IF(Table1[[#This Row],[Effective Child Tax Credit]]&gt;Table1[[#This Row],[Regular Taxes Owed]],Table1[[#This Row],[Additional Child Tax Credit ]]-Table1[[#This Row],[Regular Taxes Owed]],0)</f>
        <v>0</v>
      </c>
      <c r="Q73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0" s="1">
        <f>Table1[[#This Row],[Effective Additional Child Tax Credit]]+Table1[[#This Row],[Eitc]]</f>
        <v>0</v>
      </c>
      <c r="S730" s="9">
        <f>Table1[[#This Row],[Regular Taxes Owed - Effective Child Tax Credit]]-Table1[[#This Row],[Total Credits]]</f>
        <v>76244.5</v>
      </c>
      <c r="T730" s="9">
        <f>Table1[[#This Row],[taxable wages]]+interest+dividends+short_term_capital_gains+long_term_capital_gains-(charitable_donations+mortgage_interest)</f>
        <v>346500</v>
      </c>
      <c r="U730" s="9">
        <f>MAX(amt_exemption-amt_exemption_phase_out_rate*MAX(Table1[[#This Row],[taxable wages]]-amt_phase_out_begins,0),0)</f>
        <v>37100</v>
      </c>
      <c r="V73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82906</v>
      </c>
      <c r="W730" s="1">
        <f>IF(AND(Table1[[#This Row],[AMT Taxes]]&gt;Table1[[#This Row],[Regular Taxes Owed]],Table1[[#This Row],[AMT Taxes]]&gt;0),Table1[[#This Row],[AMT Taxes]]-Table1[[#This Row],[Regular Taxes Owed]],0)</f>
        <v>6661.5</v>
      </c>
      <c r="X730" s="9">
        <f>Table1[[#This Row],[Extra Taxes From Amt]]+Table1[[#This Row],[Federal Taxes Owed (No AMT)]]</f>
        <v>82906</v>
      </c>
      <c r="Y730" s="9">
        <f>IF(Table1[[#This Row],[taxable wages]]&gt;obamacare_surcharge_amount,obamacare_surcharge_percent*(Table1[[#This Row],[taxable wages]]-obamacare_surcharge_amount),0)</f>
        <v>868.49999999999989</v>
      </c>
      <c r="Z730" s="9">
        <f>Table1[[#This Row],[Federal Taxes Owed (Includes AMT)]]+Table1[[#This Row],[Obamacare surcharge premium]]</f>
        <v>83774.5</v>
      </c>
      <c r="AA730" s="9">
        <f>Table1[[#This Row],[taxable wages]]-Table1[[#This Row],[Federal Taxes Owed2]]</f>
        <v>262725.5</v>
      </c>
      <c r="AB730" s="51">
        <f t="shared" si="61"/>
        <v>0.35899999999999999</v>
      </c>
      <c r="AC730" s="41"/>
      <c r="AD730" s="13"/>
      <c r="AE730" s="13"/>
    </row>
    <row r="731" spans="2:31" x14ac:dyDescent="0.3">
      <c r="B731" s="41">
        <f t="shared" si="62"/>
        <v>347000</v>
      </c>
      <c r="C731" s="1">
        <f>Table1[[#This Row],[taxable wages]]</f>
        <v>347000</v>
      </c>
      <c r="D731" s="1">
        <f>Table1[[#This Row],[taxable wages]]+interest+dividends+short_term_capital_gains+long_term_capital_gains</f>
        <v>347000</v>
      </c>
      <c r="E731" s="1">
        <f>MAX(Table1[[#This Row],[earned income for EITC]:[Agi For Eitc Calc]])</f>
        <v>347000</v>
      </c>
      <c r="F731" s="1">
        <f>Table1[[#This Row],[taxable wages]]+interest+dividends+short_term_capital_gains+long_term_capital_gains-(trad_ira_contributions+MIN(student_loan_interest_cap,student_loan_interest))</f>
        <v>347000</v>
      </c>
      <c r="G731" s="1">
        <f t="shared" si="58"/>
        <v>12600</v>
      </c>
      <c r="H731" s="1">
        <f t="shared" si="59"/>
        <v>28350</v>
      </c>
      <c r="I731" s="1">
        <f>MAX(0,Table1[[#This Row],[Agi]]-Table1[[#This Row],[Exemptions]]-Table1[[#This Row],[Effective Deductions]])</f>
        <v>306050</v>
      </c>
      <c r="J73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76409.5</v>
      </c>
      <c r="K731" s="1">
        <f t="shared" si="60"/>
        <v>5000</v>
      </c>
      <c r="L731" s="1">
        <f>IF(Table1[[#This Row],[Agi]]&gt;ctc_phase_out_begins,ctc_phase_out_rate*(Table1[[#This Row],[Agi]]-ctc_phase_out_begins),0)</f>
        <v>11850</v>
      </c>
      <c r="M731" s="1">
        <f>MAX(Table1[[#This Row],[Child Tax Credit]]-Table1[[#This Row],[Child Tax Credit Phase Out]],0)</f>
        <v>0</v>
      </c>
      <c r="N731" s="1">
        <f>MAX(Table1[[#This Row],[Regular Taxes Owed]]-Table1[[#This Row],[Effective Child Tax Credit]],0)</f>
        <v>76409.5</v>
      </c>
      <c r="O731" s="1">
        <f>MAX(MIN((Table1[[#This Row],[taxable wages]]-3000)*0.15,1000*num_kids_16_younger),0)</f>
        <v>5000</v>
      </c>
      <c r="P731" s="9">
        <f>IF(Table1[[#This Row],[Effective Child Tax Credit]]&gt;Table1[[#This Row],[Regular Taxes Owed]],Table1[[#This Row],[Additional Child Tax Credit ]]-Table1[[#This Row],[Regular Taxes Owed]],0)</f>
        <v>0</v>
      </c>
      <c r="Q73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1" s="1">
        <f>Table1[[#This Row],[Effective Additional Child Tax Credit]]+Table1[[#This Row],[Eitc]]</f>
        <v>0</v>
      </c>
      <c r="S731" s="9">
        <f>Table1[[#This Row],[Regular Taxes Owed - Effective Child Tax Credit]]-Table1[[#This Row],[Total Credits]]</f>
        <v>76409.5</v>
      </c>
      <c r="T731" s="9">
        <f>Table1[[#This Row],[taxable wages]]+interest+dividends+short_term_capital_gains+long_term_capital_gains-(charitable_donations+mortgage_interest)</f>
        <v>347000</v>
      </c>
      <c r="U731" s="9">
        <f>MAX(amt_exemption-amt_exemption_phase_out_rate*MAX(Table1[[#This Row],[taxable wages]]-amt_phase_out_begins,0),0)</f>
        <v>36975</v>
      </c>
      <c r="V73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83081</v>
      </c>
      <c r="W731" s="1">
        <f>IF(AND(Table1[[#This Row],[AMT Taxes]]&gt;Table1[[#This Row],[Regular Taxes Owed]],Table1[[#This Row],[AMT Taxes]]&gt;0),Table1[[#This Row],[AMT Taxes]]-Table1[[#This Row],[Regular Taxes Owed]],0)</f>
        <v>6671.5</v>
      </c>
      <c r="X731" s="9">
        <f>Table1[[#This Row],[Extra Taxes From Amt]]+Table1[[#This Row],[Federal Taxes Owed (No AMT)]]</f>
        <v>83081</v>
      </c>
      <c r="Y731" s="9">
        <f>IF(Table1[[#This Row],[taxable wages]]&gt;obamacare_surcharge_amount,obamacare_surcharge_percent*(Table1[[#This Row],[taxable wages]]-obamacare_surcharge_amount),0)</f>
        <v>872.99999999999989</v>
      </c>
      <c r="Z731" s="9">
        <f>Table1[[#This Row],[Federal Taxes Owed (Includes AMT)]]+Table1[[#This Row],[Obamacare surcharge premium]]</f>
        <v>83954</v>
      </c>
      <c r="AA731" s="9">
        <f>Table1[[#This Row],[taxable wages]]-Table1[[#This Row],[Federal Taxes Owed2]]</f>
        <v>263046</v>
      </c>
      <c r="AB731" s="51">
        <f t="shared" si="61"/>
        <v>0.35899999999999999</v>
      </c>
      <c r="AC731" s="41"/>
      <c r="AD731" s="13"/>
      <c r="AE731" s="13"/>
    </row>
    <row r="732" spans="2:31" x14ac:dyDescent="0.3">
      <c r="B732" s="41">
        <f t="shared" si="62"/>
        <v>347500</v>
      </c>
      <c r="C732" s="1">
        <f>Table1[[#This Row],[taxable wages]]</f>
        <v>347500</v>
      </c>
      <c r="D732" s="1">
        <f>Table1[[#This Row],[taxable wages]]+interest+dividends+short_term_capital_gains+long_term_capital_gains</f>
        <v>347500</v>
      </c>
      <c r="E732" s="1">
        <f>MAX(Table1[[#This Row],[earned income for EITC]:[Agi For Eitc Calc]])</f>
        <v>347500</v>
      </c>
      <c r="F732" s="1">
        <f>Table1[[#This Row],[taxable wages]]+interest+dividends+short_term_capital_gains+long_term_capital_gains-(trad_ira_contributions+MIN(student_loan_interest_cap,student_loan_interest))</f>
        <v>347500</v>
      </c>
      <c r="G732" s="1">
        <f t="shared" si="58"/>
        <v>12600</v>
      </c>
      <c r="H732" s="1">
        <f t="shared" si="59"/>
        <v>28350</v>
      </c>
      <c r="I732" s="1">
        <f>MAX(0,Table1[[#This Row],[Agi]]-Table1[[#This Row],[Exemptions]]-Table1[[#This Row],[Effective Deductions]])</f>
        <v>306550</v>
      </c>
      <c r="J732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76574.5</v>
      </c>
      <c r="K732" s="1">
        <f t="shared" si="60"/>
        <v>5000</v>
      </c>
      <c r="L732" s="1">
        <f>IF(Table1[[#This Row],[Agi]]&gt;ctc_phase_out_begins,ctc_phase_out_rate*(Table1[[#This Row],[Agi]]-ctc_phase_out_begins),0)</f>
        <v>11875</v>
      </c>
      <c r="M732" s="1">
        <f>MAX(Table1[[#This Row],[Child Tax Credit]]-Table1[[#This Row],[Child Tax Credit Phase Out]],0)</f>
        <v>0</v>
      </c>
      <c r="N732" s="1">
        <f>MAX(Table1[[#This Row],[Regular Taxes Owed]]-Table1[[#This Row],[Effective Child Tax Credit]],0)</f>
        <v>76574.5</v>
      </c>
      <c r="O732" s="1">
        <f>MAX(MIN((Table1[[#This Row],[taxable wages]]-3000)*0.15,1000*num_kids_16_younger),0)</f>
        <v>5000</v>
      </c>
      <c r="P732" s="9">
        <f>IF(Table1[[#This Row],[Effective Child Tax Credit]]&gt;Table1[[#This Row],[Regular Taxes Owed]],Table1[[#This Row],[Additional Child Tax Credit ]]-Table1[[#This Row],[Regular Taxes Owed]],0)</f>
        <v>0</v>
      </c>
      <c r="Q732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2" s="1">
        <f>Table1[[#This Row],[Effective Additional Child Tax Credit]]+Table1[[#This Row],[Eitc]]</f>
        <v>0</v>
      </c>
      <c r="S732" s="9">
        <f>Table1[[#This Row],[Regular Taxes Owed - Effective Child Tax Credit]]-Table1[[#This Row],[Total Credits]]</f>
        <v>76574.5</v>
      </c>
      <c r="T732" s="9">
        <f>Table1[[#This Row],[taxable wages]]+interest+dividends+short_term_capital_gains+long_term_capital_gains-(charitable_donations+mortgage_interest)</f>
        <v>347500</v>
      </c>
      <c r="U732" s="9">
        <f>MAX(amt_exemption-amt_exemption_phase_out_rate*MAX(Table1[[#This Row],[taxable wages]]-amt_phase_out_begins,0),0)</f>
        <v>36850</v>
      </c>
      <c r="V732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83256</v>
      </c>
      <c r="W732" s="1">
        <f>IF(AND(Table1[[#This Row],[AMT Taxes]]&gt;Table1[[#This Row],[Regular Taxes Owed]],Table1[[#This Row],[AMT Taxes]]&gt;0),Table1[[#This Row],[AMT Taxes]]-Table1[[#This Row],[Regular Taxes Owed]],0)</f>
        <v>6681.5</v>
      </c>
      <c r="X732" s="9">
        <f>Table1[[#This Row],[Extra Taxes From Amt]]+Table1[[#This Row],[Federal Taxes Owed (No AMT)]]</f>
        <v>83256</v>
      </c>
      <c r="Y732" s="9">
        <f>IF(Table1[[#This Row],[taxable wages]]&gt;obamacare_surcharge_amount,obamacare_surcharge_percent*(Table1[[#This Row],[taxable wages]]-obamacare_surcharge_amount),0)</f>
        <v>877.49999999999989</v>
      </c>
      <c r="Z732" s="9">
        <f>Table1[[#This Row],[Federal Taxes Owed (Includes AMT)]]+Table1[[#This Row],[Obamacare surcharge premium]]</f>
        <v>84133.5</v>
      </c>
      <c r="AA732" s="9">
        <f>Table1[[#This Row],[taxable wages]]-Table1[[#This Row],[Federal Taxes Owed2]]</f>
        <v>263366.5</v>
      </c>
      <c r="AB732" s="51">
        <f t="shared" si="61"/>
        <v>0.35899999999999999</v>
      </c>
      <c r="AC732" s="41"/>
      <c r="AD732" s="13"/>
      <c r="AE732" s="13"/>
    </row>
    <row r="733" spans="2:31" x14ac:dyDescent="0.3">
      <c r="B733" s="41">
        <f t="shared" si="62"/>
        <v>348000</v>
      </c>
      <c r="C733" s="1">
        <f>Table1[[#This Row],[taxable wages]]</f>
        <v>348000</v>
      </c>
      <c r="D733" s="1">
        <f>Table1[[#This Row],[taxable wages]]+interest+dividends+short_term_capital_gains+long_term_capital_gains</f>
        <v>348000</v>
      </c>
      <c r="E733" s="1">
        <f>MAX(Table1[[#This Row],[earned income for EITC]:[Agi For Eitc Calc]])</f>
        <v>348000</v>
      </c>
      <c r="F733" s="1">
        <f>Table1[[#This Row],[taxable wages]]+interest+dividends+short_term_capital_gains+long_term_capital_gains-(trad_ira_contributions+MIN(student_loan_interest_cap,student_loan_interest))</f>
        <v>348000</v>
      </c>
      <c r="G733" s="1">
        <f t="shared" si="58"/>
        <v>12600</v>
      </c>
      <c r="H733" s="1">
        <f t="shared" si="59"/>
        <v>28350</v>
      </c>
      <c r="I733" s="1">
        <f>MAX(0,Table1[[#This Row],[Agi]]-Table1[[#This Row],[Exemptions]]-Table1[[#This Row],[Effective Deductions]])</f>
        <v>307050</v>
      </c>
      <c r="J733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76739.5</v>
      </c>
      <c r="K733" s="1">
        <f t="shared" si="60"/>
        <v>5000</v>
      </c>
      <c r="L733" s="1">
        <f>IF(Table1[[#This Row],[Agi]]&gt;ctc_phase_out_begins,ctc_phase_out_rate*(Table1[[#This Row],[Agi]]-ctc_phase_out_begins),0)</f>
        <v>11900</v>
      </c>
      <c r="M733" s="1">
        <f>MAX(Table1[[#This Row],[Child Tax Credit]]-Table1[[#This Row],[Child Tax Credit Phase Out]],0)</f>
        <v>0</v>
      </c>
      <c r="N733" s="1">
        <f>MAX(Table1[[#This Row],[Regular Taxes Owed]]-Table1[[#This Row],[Effective Child Tax Credit]],0)</f>
        <v>76739.5</v>
      </c>
      <c r="O733" s="1">
        <f>MAX(MIN((Table1[[#This Row],[taxable wages]]-3000)*0.15,1000*num_kids_16_younger),0)</f>
        <v>5000</v>
      </c>
      <c r="P733" s="9">
        <f>IF(Table1[[#This Row],[Effective Child Tax Credit]]&gt;Table1[[#This Row],[Regular Taxes Owed]],Table1[[#This Row],[Additional Child Tax Credit ]]-Table1[[#This Row],[Regular Taxes Owed]],0)</f>
        <v>0</v>
      </c>
      <c r="Q733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3" s="1">
        <f>Table1[[#This Row],[Effective Additional Child Tax Credit]]+Table1[[#This Row],[Eitc]]</f>
        <v>0</v>
      </c>
      <c r="S733" s="9">
        <f>Table1[[#This Row],[Regular Taxes Owed - Effective Child Tax Credit]]-Table1[[#This Row],[Total Credits]]</f>
        <v>76739.5</v>
      </c>
      <c r="T733" s="9">
        <f>Table1[[#This Row],[taxable wages]]+interest+dividends+short_term_capital_gains+long_term_capital_gains-(charitable_donations+mortgage_interest)</f>
        <v>348000</v>
      </c>
      <c r="U733" s="9">
        <f>MAX(amt_exemption-amt_exemption_phase_out_rate*MAX(Table1[[#This Row],[taxable wages]]-amt_phase_out_begins,0),0)</f>
        <v>36725</v>
      </c>
      <c r="V733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83431</v>
      </c>
      <c r="W733" s="1">
        <f>IF(AND(Table1[[#This Row],[AMT Taxes]]&gt;Table1[[#This Row],[Regular Taxes Owed]],Table1[[#This Row],[AMT Taxes]]&gt;0),Table1[[#This Row],[AMT Taxes]]-Table1[[#This Row],[Regular Taxes Owed]],0)</f>
        <v>6691.5</v>
      </c>
      <c r="X733" s="9">
        <f>Table1[[#This Row],[Extra Taxes From Amt]]+Table1[[#This Row],[Federal Taxes Owed (No AMT)]]</f>
        <v>83431</v>
      </c>
      <c r="Y733" s="9">
        <f>IF(Table1[[#This Row],[taxable wages]]&gt;obamacare_surcharge_amount,obamacare_surcharge_percent*(Table1[[#This Row],[taxable wages]]-obamacare_surcharge_amount),0)</f>
        <v>881.99999999999989</v>
      </c>
      <c r="Z733" s="9">
        <f>Table1[[#This Row],[Federal Taxes Owed (Includes AMT)]]+Table1[[#This Row],[Obamacare surcharge premium]]</f>
        <v>84313</v>
      </c>
      <c r="AA733" s="9">
        <f>Table1[[#This Row],[taxable wages]]-Table1[[#This Row],[Federal Taxes Owed2]]</f>
        <v>263687</v>
      </c>
      <c r="AB733" s="51">
        <f t="shared" si="61"/>
        <v>0.35899999999999999</v>
      </c>
      <c r="AC733" s="41"/>
      <c r="AD733" s="13"/>
      <c r="AE733" s="13"/>
    </row>
    <row r="734" spans="2:31" x14ac:dyDescent="0.3">
      <c r="B734" s="41">
        <f t="shared" si="62"/>
        <v>348500</v>
      </c>
      <c r="C734" s="1">
        <f>Table1[[#This Row],[taxable wages]]</f>
        <v>348500</v>
      </c>
      <c r="D734" s="1">
        <f>Table1[[#This Row],[taxable wages]]+interest+dividends+short_term_capital_gains+long_term_capital_gains</f>
        <v>348500</v>
      </c>
      <c r="E734" s="1">
        <f>MAX(Table1[[#This Row],[earned income for EITC]:[Agi For Eitc Calc]])</f>
        <v>348500</v>
      </c>
      <c r="F734" s="1">
        <f>Table1[[#This Row],[taxable wages]]+interest+dividends+short_term_capital_gains+long_term_capital_gains-(trad_ira_contributions+MIN(student_loan_interest_cap,student_loan_interest))</f>
        <v>348500</v>
      </c>
      <c r="G734" s="1">
        <f t="shared" si="58"/>
        <v>12600</v>
      </c>
      <c r="H734" s="1">
        <f t="shared" si="59"/>
        <v>28350</v>
      </c>
      <c r="I734" s="1">
        <f>MAX(0,Table1[[#This Row],[Agi]]-Table1[[#This Row],[Exemptions]]-Table1[[#This Row],[Effective Deductions]])</f>
        <v>307550</v>
      </c>
      <c r="J734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76904.5</v>
      </c>
      <c r="K734" s="1">
        <f t="shared" si="60"/>
        <v>5000</v>
      </c>
      <c r="L734" s="1">
        <f>IF(Table1[[#This Row],[Agi]]&gt;ctc_phase_out_begins,ctc_phase_out_rate*(Table1[[#This Row],[Agi]]-ctc_phase_out_begins),0)</f>
        <v>11925</v>
      </c>
      <c r="M734" s="1">
        <f>MAX(Table1[[#This Row],[Child Tax Credit]]-Table1[[#This Row],[Child Tax Credit Phase Out]],0)</f>
        <v>0</v>
      </c>
      <c r="N734" s="1">
        <f>MAX(Table1[[#This Row],[Regular Taxes Owed]]-Table1[[#This Row],[Effective Child Tax Credit]],0)</f>
        <v>76904.5</v>
      </c>
      <c r="O734" s="1">
        <f>MAX(MIN((Table1[[#This Row],[taxable wages]]-3000)*0.15,1000*num_kids_16_younger),0)</f>
        <v>5000</v>
      </c>
      <c r="P734" s="9">
        <f>IF(Table1[[#This Row],[Effective Child Tax Credit]]&gt;Table1[[#This Row],[Regular Taxes Owed]],Table1[[#This Row],[Additional Child Tax Credit ]]-Table1[[#This Row],[Regular Taxes Owed]],0)</f>
        <v>0</v>
      </c>
      <c r="Q734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4" s="1">
        <f>Table1[[#This Row],[Effective Additional Child Tax Credit]]+Table1[[#This Row],[Eitc]]</f>
        <v>0</v>
      </c>
      <c r="S734" s="9">
        <f>Table1[[#This Row],[Regular Taxes Owed - Effective Child Tax Credit]]-Table1[[#This Row],[Total Credits]]</f>
        <v>76904.5</v>
      </c>
      <c r="T734" s="9">
        <f>Table1[[#This Row],[taxable wages]]+interest+dividends+short_term_capital_gains+long_term_capital_gains-(charitable_donations+mortgage_interest)</f>
        <v>348500</v>
      </c>
      <c r="U734" s="9">
        <f>MAX(amt_exemption-amt_exemption_phase_out_rate*MAX(Table1[[#This Row],[taxable wages]]-amt_phase_out_begins,0),0)</f>
        <v>36600</v>
      </c>
      <c r="V734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83606</v>
      </c>
      <c r="W734" s="1">
        <f>IF(AND(Table1[[#This Row],[AMT Taxes]]&gt;Table1[[#This Row],[Regular Taxes Owed]],Table1[[#This Row],[AMT Taxes]]&gt;0),Table1[[#This Row],[AMT Taxes]]-Table1[[#This Row],[Regular Taxes Owed]],0)</f>
        <v>6701.5</v>
      </c>
      <c r="X734" s="9">
        <f>Table1[[#This Row],[Extra Taxes From Amt]]+Table1[[#This Row],[Federal Taxes Owed (No AMT)]]</f>
        <v>83606</v>
      </c>
      <c r="Y734" s="9">
        <f>IF(Table1[[#This Row],[taxable wages]]&gt;obamacare_surcharge_amount,obamacare_surcharge_percent*(Table1[[#This Row],[taxable wages]]-obamacare_surcharge_amount),0)</f>
        <v>886.49999999999989</v>
      </c>
      <c r="Z734" s="9">
        <f>Table1[[#This Row],[Federal Taxes Owed (Includes AMT)]]+Table1[[#This Row],[Obamacare surcharge premium]]</f>
        <v>84492.5</v>
      </c>
      <c r="AA734" s="9">
        <f>Table1[[#This Row],[taxable wages]]-Table1[[#This Row],[Federal Taxes Owed2]]</f>
        <v>264007.5</v>
      </c>
      <c r="AB734" s="51">
        <f t="shared" si="61"/>
        <v>0.35899999999999999</v>
      </c>
      <c r="AC734" s="41"/>
      <c r="AD734" s="13"/>
      <c r="AE734" s="13"/>
    </row>
    <row r="735" spans="2:31" x14ac:dyDescent="0.3">
      <c r="B735" s="41">
        <f t="shared" si="62"/>
        <v>349000</v>
      </c>
      <c r="C735" s="1">
        <f>Table1[[#This Row],[taxable wages]]</f>
        <v>349000</v>
      </c>
      <c r="D735" s="1">
        <f>Table1[[#This Row],[taxable wages]]+interest+dividends+short_term_capital_gains+long_term_capital_gains</f>
        <v>349000</v>
      </c>
      <c r="E735" s="1">
        <f>MAX(Table1[[#This Row],[earned income for EITC]:[Agi For Eitc Calc]])</f>
        <v>349000</v>
      </c>
      <c r="F735" s="1">
        <f>Table1[[#This Row],[taxable wages]]+interest+dividends+short_term_capital_gains+long_term_capital_gains-(trad_ira_contributions+MIN(student_loan_interest_cap,student_loan_interest))</f>
        <v>349000</v>
      </c>
      <c r="G735" s="1">
        <f t="shared" si="58"/>
        <v>12600</v>
      </c>
      <c r="H735" s="1">
        <f t="shared" si="59"/>
        <v>28350</v>
      </c>
      <c r="I735" s="1">
        <f>MAX(0,Table1[[#This Row],[Agi]]-Table1[[#This Row],[Exemptions]]-Table1[[#This Row],[Effective Deductions]])</f>
        <v>308050</v>
      </c>
      <c r="J735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77069.5</v>
      </c>
      <c r="K735" s="1">
        <f t="shared" si="60"/>
        <v>5000</v>
      </c>
      <c r="L735" s="1">
        <f>IF(Table1[[#This Row],[Agi]]&gt;ctc_phase_out_begins,ctc_phase_out_rate*(Table1[[#This Row],[Agi]]-ctc_phase_out_begins),0)</f>
        <v>11950</v>
      </c>
      <c r="M735" s="1">
        <f>MAX(Table1[[#This Row],[Child Tax Credit]]-Table1[[#This Row],[Child Tax Credit Phase Out]],0)</f>
        <v>0</v>
      </c>
      <c r="N735" s="1">
        <f>MAX(Table1[[#This Row],[Regular Taxes Owed]]-Table1[[#This Row],[Effective Child Tax Credit]],0)</f>
        <v>77069.5</v>
      </c>
      <c r="O735" s="1">
        <f>MAX(MIN((Table1[[#This Row],[taxable wages]]-3000)*0.15,1000*num_kids_16_younger),0)</f>
        <v>5000</v>
      </c>
      <c r="P735" s="9">
        <f>IF(Table1[[#This Row],[Effective Child Tax Credit]]&gt;Table1[[#This Row],[Regular Taxes Owed]],Table1[[#This Row],[Additional Child Tax Credit ]]-Table1[[#This Row],[Regular Taxes Owed]],0)</f>
        <v>0</v>
      </c>
      <c r="Q735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5" s="1">
        <f>Table1[[#This Row],[Effective Additional Child Tax Credit]]+Table1[[#This Row],[Eitc]]</f>
        <v>0</v>
      </c>
      <c r="S735" s="9">
        <f>Table1[[#This Row],[Regular Taxes Owed - Effective Child Tax Credit]]-Table1[[#This Row],[Total Credits]]</f>
        <v>77069.5</v>
      </c>
      <c r="T735" s="9">
        <f>Table1[[#This Row],[taxable wages]]+interest+dividends+short_term_capital_gains+long_term_capital_gains-(charitable_donations+mortgage_interest)</f>
        <v>349000</v>
      </c>
      <c r="U735" s="9">
        <f>MAX(amt_exemption-amt_exemption_phase_out_rate*MAX(Table1[[#This Row],[taxable wages]]-amt_phase_out_begins,0),0)</f>
        <v>36475</v>
      </c>
      <c r="V735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83781</v>
      </c>
      <c r="W735" s="1">
        <f>IF(AND(Table1[[#This Row],[AMT Taxes]]&gt;Table1[[#This Row],[Regular Taxes Owed]],Table1[[#This Row],[AMT Taxes]]&gt;0),Table1[[#This Row],[AMT Taxes]]-Table1[[#This Row],[Regular Taxes Owed]],0)</f>
        <v>6711.5</v>
      </c>
      <c r="X735" s="9">
        <f>Table1[[#This Row],[Extra Taxes From Amt]]+Table1[[#This Row],[Federal Taxes Owed (No AMT)]]</f>
        <v>83781</v>
      </c>
      <c r="Y735" s="9">
        <f>IF(Table1[[#This Row],[taxable wages]]&gt;obamacare_surcharge_amount,obamacare_surcharge_percent*(Table1[[#This Row],[taxable wages]]-obamacare_surcharge_amount),0)</f>
        <v>890.99999999999989</v>
      </c>
      <c r="Z735" s="9">
        <f>Table1[[#This Row],[Federal Taxes Owed (Includes AMT)]]+Table1[[#This Row],[Obamacare surcharge premium]]</f>
        <v>84672</v>
      </c>
      <c r="AA735" s="9">
        <f>Table1[[#This Row],[taxable wages]]-Table1[[#This Row],[Federal Taxes Owed2]]</f>
        <v>264328</v>
      </c>
      <c r="AB735" s="51">
        <f t="shared" si="61"/>
        <v>0.35899999999999999</v>
      </c>
      <c r="AC735" s="41"/>
      <c r="AD735" s="13"/>
      <c r="AE735" s="13"/>
    </row>
    <row r="736" spans="2:31" x14ac:dyDescent="0.3">
      <c r="B736" s="41">
        <f t="shared" si="62"/>
        <v>349500</v>
      </c>
      <c r="C736" s="1">
        <f>Table1[[#This Row],[taxable wages]]</f>
        <v>349500</v>
      </c>
      <c r="D736" s="1">
        <f>Table1[[#This Row],[taxable wages]]+interest+dividends+short_term_capital_gains+long_term_capital_gains</f>
        <v>349500</v>
      </c>
      <c r="E736" s="1">
        <f>MAX(Table1[[#This Row],[earned income for EITC]:[Agi For Eitc Calc]])</f>
        <v>349500</v>
      </c>
      <c r="F736" s="1">
        <f>Table1[[#This Row],[taxable wages]]+interest+dividends+short_term_capital_gains+long_term_capital_gains-(trad_ira_contributions+MIN(student_loan_interest_cap,student_loan_interest))</f>
        <v>349500</v>
      </c>
      <c r="G736" s="1">
        <f t="shared" si="58"/>
        <v>12600</v>
      </c>
      <c r="H736" s="1">
        <f t="shared" si="59"/>
        <v>28350</v>
      </c>
      <c r="I736" s="1">
        <f>MAX(0,Table1[[#This Row],[Agi]]-Table1[[#This Row],[Exemptions]]-Table1[[#This Row],[Effective Deductions]])</f>
        <v>308550</v>
      </c>
      <c r="J736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77234.5</v>
      </c>
      <c r="K736" s="1">
        <f t="shared" si="60"/>
        <v>5000</v>
      </c>
      <c r="L736" s="1">
        <f>IF(Table1[[#This Row],[Agi]]&gt;ctc_phase_out_begins,ctc_phase_out_rate*(Table1[[#This Row],[Agi]]-ctc_phase_out_begins),0)</f>
        <v>11975</v>
      </c>
      <c r="M736" s="1">
        <f>MAX(Table1[[#This Row],[Child Tax Credit]]-Table1[[#This Row],[Child Tax Credit Phase Out]],0)</f>
        <v>0</v>
      </c>
      <c r="N736" s="1">
        <f>MAX(Table1[[#This Row],[Regular Taxes Owed]]-Table1[[#This Row],[Effective Child Tax Credit]],0)</f>
        <v>77234.5</v>
      </c>
      <c r="O736" s="1">
        <f>MAX(MIN((Table1[[#This Row],[taxable wages]]-3000)*0.15,1000*num_kids_16_younger),0)</f>
        <v>5000</v>
      </c>
      <c r="P736" s="9">
        <f>IF(Table1[[#This Row],[Effective Child Tax Credit]]&gt;Table1[[#This Row],[Regular Taxes Owed]],Table1[[#This Row],[Additional Child Tax Credit ]]-Table1[[#This Row],[Regular Taxes Owed]],0)</f>
        <v>0</v>
      </c>
      <c r="Q736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6" s="1">
        <f>Table1[[#This Row],[Effective Additional Child Tax Credit]]+Table1[[#This Row],[Eitc]]</f>
        <v>0</v>
      </c>
      <c r="S736" s="9">
        <f>Table1[[#This Row],[Regular Taxes Owed - Effective Child Tax Credit]]-Table1[[#This Row],[Total Credits]]</f>
        <v>77234.5</v>
      </c>
      <c r="T736" s="9">
        <f>Table1[[#This Row],[taxable wages]]+interest+dividends+short_term_capital_gains+long_term_capital_gains-(charitable_donations+mortgage_interest)</f>
        <v>349500</v>
      </c>
      <c r="U736" s="9">
        <f>MAX(amt_exemption-amt_exemption_phase_out_rate*MAX(Table1[[#This Row],[taxable wages]]-amt_phase_out_begins,0),0)</f>
        <v>36350</v>
      </c>
      <c r="V736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83956</v>
      </c>
      <c r="W736" s="1">
        <f>IF(AND(Table1[[#This Row],[AMT Taxes]]&gt;Table1[[#This Row],[Regular Taxes Owed]],Table1[[#This Row],[AMT Taxes]]&gt;0),Table1[[#This Row],[AMT Taxes]]-Table1[[#This Row],[Regular Taxes Owed]],0)</f>
        <v>6721.5</v>
      </c>
      <c r="X736" s="9">
        <f>Table1[[#This Row],[Extra Taxes From Amt]]+Table1[[#This Row],[Federal Taxes Owed (No AMT)]]</f>
        <v>83956</v>
      </c>
      <c r="Y736" s="9">
        <f>IF(Table1[[#This Row],[taxable wages]]&gt;obamacare_surcharge_amount,obamacare_surcharge_percent*(Table1[[#This Row],[taxable wages]]-obamacare_surcharge_amount),0)</f>
        <v>895.49999999999989</v>
      </c>
      <c r="Z736" s="9">
        <f>Table1[[#This Row],[Federal Taxes Owed (Includes AMT)]]+Table1[[#This Row],[Obamacare surcharge premium]]</f>
        <v>84851.5</v>
      </c>
      <c r="AA736" s="9">
        <f>Table1[[#This Row],[taxable wages]]-Table1[[#This Row],[Federal Taxes Owed2]]</f>
        <v>264648.5</v>
      </c>
      <c r="AB736" s="51">
        <f t="shared" si="61"/>
        <v>0.35899999999999999</v>
      </c>
      <c r="AC736" s="41"/>
      <c r="AD736" s="13"/>
      <c r="AE736" s="13"/>
    </row>
    <row r="737" spans="2:31" x14ac:dyDescent="0.3">
      <c r="B737" s="41">
        <f t="shared" si="62"/>
        <v>350000</v>
      </c>
      <c r="C737" s="1">
        <f>Table1[[#This Row],[taxable wages]]</f>
        <v>350000</v>
      </c>
      <c r="D737" s="1">
        <f>Table1[[#This Row],[taxable wages]]+interest+dividends+short_term_capital_gains+long_term_capital_gains</f>
        <v>350000</v>
      </c>
      <c r="E737" s="1">
        <f>MAX(Table1[[#This Row],[earned income for EITC]:[Agi For Eitc Calc]])</f>
        <v>350000</v>
      </c>
      <c r="F737" s="1">
        <f>Table1[[#This Row],[taxable wages]]+interest+dividends+short_term_capital_gains+long_term_capital_gains-(trad_ira_contributions+MIN(student_loan_interest_cap,student_loan_interest))</f>
        <v>350000</v>
      </c>
      <c r="G737" s="1">
        <f t="shared" si="58"/>
        <v>12600</v>
      </c>
      <c r="H737" s="1">
        <f t="shared" si="59"/>
        <v>28350</v>
      </c>
      <c r="I737" s="1">
        <f>MAX(0,Table1[[#This Row],[Agi]]-Table1[[#This Row],[Exemptions]]-Table1[[#This Row],[Effective Deductions]])</f>
        <v>309050</v>
      </c>
      <c r="J737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77399.5</v>
      </c>
      <c r="K737" s="1">
        <f t="shared" si="60"/>
        <v>5000</v>
      </c>
      <c r="L737" s="1">
        <f>IF(Table1[[#This Row],[Agi]]&gt;ctc_phase_out_begins,ctc_phase_out_rate*(Table1[[#This Row],[Agi]]-ctc_phase_out_begins),0)</f>
        <v>12000</v>
      </c>
      <c r="M737" s="1">
        <f>MAX(Table1[[#This Row],[Child Tax Credit]]-Table1[[#This Row],[Child Tax Credit Phase Out]],0)</f>
        <v>0</v>
      </c>
      <c r="N737" s="1">
        <f>MAX(Table1[[#This Row],[Regular Taxes Owed]]-Table1[[#This Row],[Effective Child Tax Credit]],0)</f>
        <v>77399.5</v>
      </c>
      <c r="O737" s="1">
        <f>MAX(MIN((Table1[[#This Row],[taxable wages]]-3000)*0.15,1000*num_kids_16_younger),0)</f>
        <v>5000</v>
      </c>
      <c r="P737" s="9">
        <f>IF(Table1[[#This Row],[Effective Child Tax Credit]]&gt;Table1[[#This Row],[Regular Taxes Owed]],Table1[[#This Row],[Additional Child Tax Credit ]]-Table1[[#This Row],[Regular Taxes Owed]],0)</f>
        <v>0</v>
      </c>
      <c r="Q737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7" s="1">
        <f>Table1[[#This Row],[Effective Additional Child Tax Credit]]+Table1[[#This Row],[Eitc]]</f>
        <v>0</v>
      </c>
      <c r="S737" s="9">
        <f>Table1[[#This Row],[Regular Taxes Owed - Effective Child Tax Credit]]-Table1[[#This Row],[Total Credits]]</f>
        <v>77399.5</v>
      </c>
      <c r="T737" s="9">
        <f>Table1[[#This Row],[taxable wages]]+interest+dividends+short_term_capital_gains+long_term_capital_gains-(charitable_donations+mortgage_interest)</f>
        <v>350000</v>
      </c>
      <c r="U737" s="9">
        <f>MAX(amt_exemption-amt_exemption_phase_out_rate*MAX(Table1[[#This Row],[taxable wages]]-amt_phase_out_begins,0),0)</f>
        <v>36225</v>
      </c>
      <c r="V737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84131</v>
      </c>
      <c r="W737" s="1">
        <f>IF(AND(Table1[[#This Row],[AMT Taxes]]&gt;Table1[[#This Row],[Regular Taxes Owed]],Table1[[#This Row],[AMT Taxes]]&gt;0),Table1[[#This Row],[AMT Taxes]]-Table1[[#This Row],[Regular Taxes Owed]],0)</f>
        <v>6731.5</v>
      </c>
      <c r="X737" s="9">
        <f>Table1[[#This Row],[Extra Taxes From Amt]]+Table1[[#This Row],[Federal Taxes Owed (No AMT)]]</f>
        <v>84131</v>
      </c>
      <c r="Y737" s="9">
        <f>IF(Table1[[#This Row],[taxable wages]]&gt;obamacare_surcharge_amount,obamacare_surcharge_percent*(Table1[[#This Row],[taxable wages]]-obamacare_surcharge_amount),0)</f>
        <v>899.99999999999989</v>
      </c>
      <c r="Z737" s="9">
        <f>Table1[[#This Row],[Federal Taxes Owed (Includes AMT)]]+Table1[[#This Row],[Obamacare surcharge premium]]</f>
        <v>85031</v>
      </c>
      <c r="AA737" s="9">
        <f>Table1[[#This Row],[taxable wages]]-Table1[[#This Row],[Federal Taxes Owed2]]</f>
        <v>264969</v>
      </c>
      <c r="AB737" s="51">
        <f t="shared" si="61"/>
        <v>0.35899999999999999</v>
      </c>
      <c r="AC737" s="41"/>
      <c r="AD737" s="13"/>
      <c r="AE737" s="13"/>
    </row>
    <row r="738" spans="2:31" x14ac:dyDescent="0.3">
      <c r="B738" s="41">
        <f t="shared" si="62"/>
        <v>350500</v>
      </c>
      <c r="C738" s="1">
        <f>Table1[[#This Row],[taxable wages]]</f>
        <v>350500</v>
      </c>
      <c r="D738" s="1">
        <f>Table1[[#This Row],[taxable wages]]+interest+dividends+short_term_capital_gains+long_term_capital_gains</f>
        <v>350500</v>
      </c>
      <c r="E738" s="1">
        <f>MAX(Table1[[#This Row],[earned income for EITC]:[Agi For Eitc Calc]])</f>
        <v>350500</v>
      </c>
      <c r="F738" s="1">
        <f>Table1[[#This Row],[taxable wages]]+interest+dividends+short_term_capital_gains+long_term_capital_gains-(trad_ira_contributions+MIN(student_loan_interest_cap,student_loan_interest))</f>
        <v>350500</v>
      </c>
      <c r="G738" s="1">
        <f t="shared" si="58"/>
        <v>12600</v>
      </c>
      <c r="H738" s="1">
        <f t="shared" si="59"/>
        <v>28350</v>
      </c>
      <c r="I738" s="1">
        <f>MAX(0,Table1[[#This Row],[Agi]]-Table1[[#This Row],[Exemptions]]-Table1[[#This Row],[Effective Deductions]])</f>
        <v>309550</v>
      </c>
      <c r="J738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77564.5</v>
      </c>
      <c r="K738" s="1">
        <f t="shared" si="60"/>
        <v>5000</v>
      </c>
      <c r="L738" s="1">
        <f>IF(Table1[[#This Row],[Agi]]&gt;ctc_phase_out_begins,ctc_phase_out_rate*(Table1[[#This Row],[Agi]]-ctc_phase_out_begins),0)</f>
        <v>12025</v>
      </c>
      <c r="M738" s="1">
        <f>MAX(Table1[[#This Row],[Child Tax Credit]]-Table1[[#This Row],[Child Tax Credit Phase Out]],0)</f>
        <v>0</v>
      </c>
      <c r="N738" s="1">
        <f>MAX(Table1[[#This Row],[Regular Taxes Owed]]-Table1[[#This Row],[Effective Child Tax Credit]],0)</f>
        <v>77564.5</v>
      </c>
      <c r="O738" s="1">
        <f>MAX(MIN((Table1[[#This Row],[taxable wages]]-3000)*0.15,1000*num_kids_16_younger),0)</f>
        <v>5000</v>
      </c>
      <c r="P738" s="9">
        <f>IF(Table1[[#This Row],[Effective Child Tax Credit]]&gt;Table1[[#This Row],[Regular Taxes Owed]],Table1[[#This Row],[Additional Child Tax Credit ]]-Table1[[#This Row],[Regular Taxes Owed]],0)</f>
        <v>0</v>
      </c>
      <c r="Q738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8" s="1">
        <f>Table1[[#This Row],[Effective Additional Child Tax Credit]]+Table1[[#This Row],[Eitc]]</f>
        <v>0</v>
      </c>
      <c r="S738" s="9">
        <f>Table1[[#This Row],[Regular Taxes Owed - Effective Child Tax Credit]]-Table1[[#This Row],[Total Credits]]</f>
        <v>77564.5</v>
      </c>
      <c r="T738" s="9">
        <f>Table1[[#This Row],[taxable wages]]+interest+dividends+short_term_capital_gains+long_term_capital_gains-(charitable_donations+mortgage_interest)</f>
        <v>350500</v>
      </c>
      <c r="U738" s="9">
        <f>MAX(amt_exemption-amt_exemption_phase_out_rate*MAX(Table1[[#This Row],[taxable wages]]-amt_phase_out_begins,0),0)</f>
        <v>36100</v>
      </c>
      <c r="V738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84306</v>
      </c>
      <c r="W738" s="1">
        <f>IF(AND(Table1[[#This Row],[AMT Taxes]]&gt;Table1[[#This Row],[Regular Taxes Owed]],Table1[[#This Row],[AMT Taxes]]&gt;0),Table1[[#This Row],[AMT Taxes]]-Table1[[#This Row],[Regular Taxes Owed]],0)</f>
        <v>6741.5</v>
      </c>
      <c r="X738" s="9">
        <f>Table1[[#This Row],[Extra Taxes From Amt]]+Table1[[#This Row],[Federal Taxes Owed (No AMT)]]</f>
        <v>84306</v>
      </c>
      <c r="Y738" s="9">
        <f>IF(Table1[[#This Row],[taxable wages]]&gt;obamacare_surcharge_amount,obamacare_surcharge_percent*(Table1[[#This Row],[taxable wages]]-obamacare_surcharge_amount),0)</f>
        <v>904.49999999999989</v>
      </c>
      <c r="Z738" s="9">
        <f>Table1[[#This Row],[Federal Taxes Owed (Includes AMT)]]+Table1[[#This Row],[Obamacare surcharge premium]]</f>
        <v>85210.5</v>
      </c>
      <c r="AA738" s="9">
        <f>Table1[[#This Row],[taxable wages]]-Table1[[#This Row],[Federal Taxes Owed2]]</f>
        <v>265289.5</v>
      </c>
      <c r="AB738" s="51">
        <f t="shared" si="61"/>
        <v>0.35899999999999999</v>
      </c>
      <c r="AC738" s="41"/>
      <c r="AD738" s="13"/>
      <c r="AE738" s="13"/>
    </row>
    <row r="739" spans="2:31" x14ac:dyDescent="0.3">
      <c r="B739" s="41">
        <f t="shared" si="62"/>
        <v>351000</v>
      </c>
      <c r="C739" s="1">
        <f>Table1[[#This Row],[taxable wages]]</f>
        <v>351000</v>
      </c>
      <c r="D739" s="1">
        <f>Table1[[#This Row],[taxable wages]]+interest+dividends+short_term_capital_gains+long_term_capital_gains</f>
        <v>351000</v>
      </c>
      <c r="E739" s="1">
        <f>MAX(Table1[[#This Row],[earned income for EITC]:[Agi For Eitc Calc]])</f>
        <v>351000</v>
      </c>
      <c r="F739" s="1">
        <f>Table1[[#This Row],[taxable wages]]+interest+dividends+short_term_capital_gains+long_term_capital_gains-(trad_ira_contributions+MIN(student_loan_interest_cap,student_loan_interest))</f>
        <v>351000</v>
      </c>
      <c r="G739" s="1">
        <f t="shared" si="58"/>
        <v>12600</v>
      </c>
      <c r="H739" s="1">
        <f t="shared" si="59"/>
        <v>28350</v>
      </c>
      <c r="I739" s="1">
        <f>MAX(0,Table1[[#This Row],[Agi]]-Table1[[#This Row],[Exemptions]]-Table1[[#This Row],[Effective Deductions]])</f>
        <v>310050</v>
      </c>
      <c r="J739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77729.5</v>
      </c>
      <c r="K739" s="1">
        <f t="shared" si="60"/>
        <v>5000</v>
      </c>
      <c r="L739" s="1">
        <f>IF(Table1[[#This Row],[Agi]]&gt;ctc_phase_out_begins,ctc_phase_out_rate*(Table1[[#This Row],[Agi]]-ctc_phase_out_begins),0)</f>
        <v>12050</v>
      </c>
      <c r="M739" s="1">
        <f>MAX(Table1[[#This Row],[Child Tax Credit]]-Table1[[#This Row],[Child Tax Credit Phase Out]],0)</f>
        <v>0</v>
      </c>
      <c r="N739" s="1">
        <f>MAX(Table1[[#This Row],[Regular Taxes Owed]]-Table1[[#This Row],[Effective Child Tax Credit]],0)</f>
        <v>77729.5</v>
      </c>
      <c r="O739" s="1">
        <f>MAX(MIN((Table1[[#This Row],[taxable wages]]-3000)*0.15,1000*num_kids_16_younger),0)</f>
        <v>5000</v>
      </c>
      <c r="P739" s="9">
        <f>IF(Table1[[#This Row],[Effective Child Tax Credit]]&gt;Table1[[#This Row],[Regular Taxes Owed]],Table1[[#This Row],[Additional Child Tax Credit ]]-Table1[[#This Row],[Regular Taxes Owed]],0)</f>
        <v>0</v>
      </c>
      <c r="Q739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39" s="1">
        <f>Table1[[#This Row],[Effective Additional Child Tax Credit]]+Table1[[#This Row],[Eitc]]</f>
        <v>0</v>
      </c>
      <c r="S739" s="9">
        <f>Table1[[#This Row],[Regular Taxes Owed - Effective Child Tax Credit]]-Table1[[#This Row],[Total Credits]]</f>
        <v>77729.5</v>
      </c>
      <c r="T739" s="9">
        <f>Table1[[#This Row],[taxable wages]]+interest+dividends+short_term_capital_gains+long_term_capital_gains-(charitable_donations+mortgage_interest)</f>
        <v>351000</v>
      </c>
      <c r="U739" s="9">
        <f>MAX(amt_exemption-amt_exemption_phase_out_rate*MAX(Table1[[#This Row],[taxable wages]]-amt_phase_out_begins,0),0)</f>
        <v>35975</v>
      </c>
      <c r="V739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84481</v>
      </c>
      <c r="W739" s="1">
        <f>IF(AND(Table1[[#This Row],[AMT Taxes]]&gt;Table1[[#This Row],[Regular Taxes Owed]],Table1[[#This Row],[AMT Taxes]]&gt;0),Table1[[#This Row],[AMT Taxes]]-Table1[[#This Row],[Regular Taxes Owed]],0)</f>
        <v>6751.5</v>
      </c>
      <c r="X739" s="9">
        <f>Table1[[#This Row],[Extra Taxes From Amt]]+Table1[[#This Row],[Federal Taxes Owed (No AMT)]]</f>
        <v>84481</v>
      </c>
      <c r="Y739" s="9">
        <f>IF(Table1[[#This Row],[taxable wages]]&gt;obamacare_surcharge_amount,obamacare_surcharge_percent*(Table1[[#This Row],[taxable wages]]-obamacare_surcharge_amount),0)</f>
        <v>908.99999999999989</v>
      </c>
      <c r="Z739" s="9">
        <f>Table1[[#This Row],[Federal Taxes Owed (Includes AMT)]]+Table1[[#This Row],[Obamacare surcharge premium]]</f>
        <v>85390</v>
      </c>
      <c r="AA739" s="9">
        <f>Table1[[#This Row],[taxable wages]]-Table1[[#This Row],[Federal Taxes Owed2]]</f>
        <v>265610</v>
      </c>
      <c r="AB739" s="51">
        <f t="shared" si="61"/>
        <v>0.35899999999999999</v>
      </c>
      <c r="AC739" s="41"/>
      <c r="AD739" s="13"/>
      <c r="AE739" s="13"/>
    </row>
    <row r="740" spans="2:31" x14ac:dyDescent="0.3">
      <c r="B740" s="41">
        <f t="shared" si="62"/>
        <v>351500</v>
      </c>
      <c r="C740" s="1">
        <f>Table1[[#This Row],[taxable wages]]</f>
        <v>351500</v>
      </c>
      <c r="D740" s="1">
        <f>Table1[[#This Row],[taxable wages]]+interest+dividends+short_term_capital_gains+long_term_capital_gains</f>
        <v>351500</v>
      </c>
      <c r="E740" s="1">
        <f>MAX(Table1[[#This Row],[earned income for EITC]:[Agi For Eitc Calc]])</f>
        <v>351500</v>
      </c>
      <c r="F740" s="1">
        <f>Table1[[#This Row],[taxable wages]]+interest+dividends+short_term_capital_gains+long_term_capital_gains-(trad_ira_contributions+MIN(student_loan_interest_cap,student_loan_interest))</f>
        <v>351500</v>
      </c>
      <c r="G740" s="1">
        <f t="shared" si="58"/>
        <v>12600</v>
      </c>
      <c r="H740" s="1">
        <f t="shared" si="59"/>
        <v>28350</v>
      </c>
      <c r="I740" s="1">
        <f>MAX(0,Table1[[#This Row],[Agi]]-Table1[[#This Row],[Exemptions]]-Table1[[#This Row],[Effective Deductions]])</f>
        <v>310550</v>
      </c>
      <c r="J740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77894.5</v>
      </c>
      <c r="K740" s="1">
        <f t="shared" si="60"/>
        <v>5000</v>
      </c>
      <c r="L740" s="1">
        <f>IF(Table1[[#This Row],[Agi]]&gt;ctc_phase_out_begins,ctc_phase_out_rate*(Table1[[#This Row],[Agi]]-ctc_phase_out_begins),0)</f>
        <v>12075</v>
      </c>
      <c r="M740" s="1">
        <f>MAX(Table1[[#This Row],[Child Tax Credit]]-Table1[[#This Row],[Child Tax Credit Phase Out]],0)</f>
        <v>0</v>
      </c>
      <c r="N740" s="1">
        <f>MAX(Table1[[#This Row],[Regular Taxes Owed]]-Table1[[#This Row],[Effective Child Tax Credit]],0)</f>
        <v>77894.5</v>
      </c>
      <c r="O740" s="1">
        <f>MAX(MIN((Table1[[#This Row],[taxable wages]]-3000)*0.15,1000*num_kids_16_younger),0)</f>
        <v>5000</v>
      </c>
      <c r="P740" s="9">
        <f>IF(Table1[[#This Row],[Effective Child Tax Credit]]&gt;Table1[[#This Row],[Regular Taxes Owed]],Table1[[#This Row],[Additional Child Tax Credit ]]-Table1[[#This Row],[Regular Taxes Owed]],0)</f>
        <v>0</v>
      </c>
      <c r="Q740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40" s="1">
        <f>Table1[[#This Row],[Effective Additional Child Tax Credit]]+Table1[[#This Row],[Eitc]]</f>
        <v>0</v>
      </c>
      <c r="S740" s="9">
        <f>Table1[[#This Row],[Regular Taxes Owed - Effective Child Tax Credit]]-Table1[[#This Row],[Total Credits]]</f>
        <v>77894.5</v>
      </c>
      <c r="T740" s="9">
        <f>Table1[[#This Row],[taxable wages]]+interest+dividends+short_term_capital_gains+long_term_capital_gains-(charitable_donations+mortgage_interest)</f>
        <v>351500</v>
      </c>
      <c r="U740" s="9">
        <f>MAX(amt_exemption-amt_exemption_phase_out_rate*MAX(Table1[[#This Row],[taxable wages]]-amt_phase_out_begins,0),0)</f>
        <v>35850</v>
      </c>
      <c r="V740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84656</v>
      </c>
      <c r="W740" s="1">
        <f>IF(AND(Table1[[#This Row],[AMT Taxes]]&gt;Table1[[#This Row],[Regular Taxes Owed]],Table1[[#This Row],[AMT Taxes]]&gt;0),Table1[[#This Row],[AMT Taxes]]-Table1[[#This Row],[Regular Taxes Owed]],0)</f>
        <v>6761.5</v>
      </c>
      <c r="X740" s="9">
        <f>Table1[[#This Row],[Extra Taxes From Amt]]+Table1[[#This Row],[Federal Taxes Owed (No AMT)]]</f>
        <v>84656</v>
      </c>
      <c r="Y740" s="9">
        <f>IF(Table1[[#This Row],[taxable wages]]&gt;obamacare_surcharge_amount,obamacare_surcharge_percent*(Table1[[#This Row],[taxable wages]]-obamacare_surcharge_amount),0)</f>
        <v>913.49999999999989</v>
      </c>
      <c r="Z740" s="9">
        <f>Table1[[#This Row],[Federal Taxes Owed (Includes AMT)]]+Table1[[#This Row],[Obamacare surcharge premium]]</f>
        <v>85569.5</v>
      </c>
      <c r="AA740" s="9">
        <f>Table1[[#This Row],[taxable wages]]-Table1[[#This Row],[Federal Taxes Owed2]]</f>
        <v>265930.5</v>
      </c>
      <c r="AB740" s="51">
        <f t="shared" si="61"/>
        <v>0.35899999999999999</v>
      </c>
      <c r="AC740" s="41"/>
      <c r="AD740" s="13"/>
      <c r="AE740" s="13"/>
    </row>
    <row r="741" spans="2:31" x14ac:dyDescent="0.3">
      <c r="B741" s="41">
        <f t="shared" si="62"/>
        <v>352000</v>
      </c>
      <c r="C741" s="1">
        <f>Table1[[#This Row],[taxable wages]]</f>
        <v>352000</v>
      </c>
      <c r="D741" s="1">
        <f>Table1[[#This Row],[taxable wages]]+interest+dividends+short_term_capital_gains+long_term_capital_gains</f>
        <v>352000</v>
      </c>
      <c r="E741" s="1">
        <f>MAX(Table1[[#This Row],[earned income for EITC]:[Agi For Eitc Calc]])</f>
        <v>352000</v>
      </c>
      <c r="F741" s="1">
        <f>Table1[[#This Row],[taxable wages]]+interest+dividends+short_term_capital_gains+long_term_capital_gains-(trad_ira_contributions+MIN(student_loan_interest_cap,student_loan_interest))</f>
        <v>352000</v>
      </c>
      <c r="G741" s="1">
        <f t="shared" si="58"/>
        <v>12600</v>
      </c>
      <c r="H741" s="1">
        <f t="shared" si="59"/>
        <v>28350</v>
      </c>
      <c r="I741" s="1">
        <f>MAX(0,Table1[[#This Row],[Agi]]-Table1[[#This Row],[Exemptions]]-Table1[[#This Row],[Effective Deductions]])</f>
        <v>311050</v>
      </c>
      <c r="J741" s="1">
        <f>IF(Table1[[#This Row],[Taxable Income]]&lt;=0,0,IF(Table1[[#This Row],[Taxable Income]]&lt;$J$25,$L$24*Table1[[#This Row],[Taxable Income]],IF(Table1[[#This Row],[Taxable Income]]&lt;$J$26,$O$24+$L$25*(Table1[[#This Row],[Taxable Income]]-$K$24),IF(Table1[[#This Row],[Taxable Income]]&lt;$J$27,$O$25+$L$26*(Table1[[#This Row],[Taxable Income]]-$K$25),IF(Table1[[#This Row],[Taxable Income]]&lt;$J$28,$O$26+$L$27*(Table1[[#This Row],[Taxable Income]]-$K$26),IF(Table1[[#This Row],[Taxable Income]]&lt;$J$29,$O$27+$L$28*(Table1[[#This Row],[Taxable Income]]-$K$27),IF(Table1[[#This Row],[Taxable Income]]&lt;$J$30,$O$28+$L$29*(Table1[[#This Row],[Taxable Income]]-$K$28),$O$29+$L$30*(Table1[[#This Row],[Taxable Income]]-$K$29))))))))</f>
        <v>78059.5</v>
      </c>
      <c r="K741" s="1">
        <f t="shared" si="60"/>
        <v>5000</v>
      </c>
      <c r="L741" s="1">
        <f>IF(Table1[[#This Row],[Agi]]&gt;ctc_phase_out_begins,ctc_phase_out_rate*(Table1[[#This Row],[Agi]]-ctc_phase_out_begins),0)</f>
        <v>12100</v>
      </c>
      <c r="M741" s="1">
        <f>MAX(Table1[[#This Row],[Child Tax Credit]]-Table1[[#This Row],[Child Tax Credit Phase Out]],0)</f>
        <v>0</v>
      </c>
      <c r="N741" s="1">
        <f>MAX(Table1[[#This Row],[Regular Taxes Owed]]-Table1[[#This Row],[Effective Child Tax Credit]],0)</f>
        <v>78059.5</v>
      </c>
      <c r="O741" s="1">
        <f>MAX(MIN((Table1[[#This Row],[taxable wages]]-3000)*0.15,1000*num_kids_16_younger),0)</f>
        <v>5000</v>
      </c>
      <c r="P741" s="9">
        <f>IF(Table1[[#This Row],[Effective Child Tax Credit]]&gt;Table1[[#This Row],[Regular Taxes Owed]],Table1[[#This Row],[Additional Child Tax Credit ]]-Table1[[#This Row],[Regular Taxes Owed]],0)</f>
        <v>0</v>
      </c>
      <c r="Q741" s="9">
        <f>IF((interest+dividends+short_term_capital_gains+long_term_capital_gains)&gt;EITC_dies_with_investment_income,0,IF(AND(Table1[[#This Row],[effective income for Etic]]&gt;0,Table1[[#This Row],[effective income for Etic]]&lt;$S$27),Table1[[#This Row],[effective income for Etic]]*$R$27/100,IF(AND(Table1[[#This Row],[effective income for Etic]]&gt;=$S$27,Table1[[#This Row],[effective income for Etic]]&lt;=$V$27),$T$27,IF(AND(Table1[[#This Row],[effective income for Etic]]&gt;=$V$27,Table1[[#This Row],[effective income for Etic]]&lt;$W$27),$T$27-$U$27/100*(Table1[[#This Row],[effective income for Etic]]-$V$27),0))))</f>
        <v>0</v>
      </c>
      <c r="R741" s="1">
        <f>Table1[[#This Row],[Effective Additional Child Tax Credit]]+Table1[[#This Row],[Eitc]]</f>
        <v>0</v>
      </c>
      <c r="S741" s="9">
        <f>Table1[[#This Row],[Regular Taxes Owed - Effective Child Tax Credit]]-Table1[[#This Row],[Total Credits]]</f>
        <v>78059.5</v>
      </c>
      <c r="T741" s="9">
        <f>Table1[[#This Row],[taxable wages]]+interest+dividends+short_term_capital_gains+long_term_capital_gains-(charitable_donations+mortgage_interest)</f>
        <v>352000</v>
      </c>
      <c r="U741" s="9">
        <f>MAX(amt_exemption-amt_exemption_phase_out_rate*MAX(Table1[[#This Row],[taxable wages]]-amt_phase_out_begins,0),0)</f>
        <v>35725</v>
      </c>
      <c r="V741" s="9">
        <f>MAX(IF( (Table1[[#This Row],[AGI for AMT]]-Table1[[#This Row],[Effective AMT Exemption]]) &lt; point_at_which_28_perc_amt_begins,     (Table1[[#This Row],[AGI for AMT]]-Table1[[#This Row],[Effective AMT Exemption]])*amt_tax_rate_26, point_at_which_28_perc_amt_begins*amt_tax_rate_26 +  (Table1[[#This Row],[AGI for AMT]]-point_at_which_28_perc_amt_begins-Table1[[#This Row],[Effective AMT Exemption]])*amt_tax_rate_28),0)</f>
        <v>84831</v>
      </c>
      <c r="W741" s="1">
        <f>IF(AND(Table1[[#This Row],[AMT Taxes]]&gt;Table1[[#This Row],[Regular Taxes Owed]],Table1[[#This Row],[AMT Taxes]]&gt;0),Table1[[#This Row],[AMT Taxes]]-Table1[[#This Row],[Regular Taxes Owed]],0)</f>
        <v>6771.5</v>
      </c>
      <c r="X741" s="9">
        <f>Table1[[#This Row],[Extra Taxes From Amt]]+Table1[[#This Row],[Federal Taxes Owed (No AMT)]]</f>
        <v>84831</v>
      </c>
      <c r="Y741" s="9">
        <f>IF(Table1[[#This Row],[taxable wages]]&gt;obamacare_surcharge_amount,obamacare_surcharge_percent*(Table1[[#This Row],[taxable wages]]-obamacare_surcharge_amount),0)</f>
        <v>917.99999999999989</v>
      </c>
      <c r="Z741" s="9">
        <f>Table1[[#This Row],[Federal Taxes Owed (Includes AMT)]]+Table1[[#This Row],[Obamacare surcharge premium]]</f>
        <v>85749</v>
      </c>
      <c r="AA741" s="9">
        <f>Table1[[#This Row],[taxable wages]]-Table1[[#This Row],[Federal Taxes Owed2]]</f>
        <v>266251</v>
      </c>
      <c r="AB741" s="51">
        <f t="shared" si="61"/>
        <v>0.35899999999999999</v>
      </c>
      <c r="AC741" s="41"/>
      <c r="AD741" s="13"/>
      <c r="AE741" s="13"/>
    </row>
    <row r="742" spans="2:31" x14ac:dyDescent="0.3">
      <c r="AB742" s="14"/>
      <c r="AD742" s="13"/>
      <c r="AE742" s="13"/>
    </row>
  </sheetData>
  <mergeCells count="4">
    <mergeCell ref="F36:J36"/>
    <mergeCell ref="K36:P36"/>
    <mergeCell ref="T36:W36"/>
    <mergeCell ref="C36:E36"/>
  </mergeCells>
  <hyperlinks>
    <hyperlink ref="F20" r:id="rId1"/>
    <hyperlink ref="Q13" r:id="rId2"/>
    <hyperlink ref="G13" r:id="rId3"/>
    <hyperlink ref="J13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workbookViewId="0">
      <selection activeCell="H8" sqref="H8"/>
    </sheetView>
  </sheetViews>
  <sheetFormatPr defaultRowHeight="14.4" x14ac:dyDescent="0.3"/>
  <cols>
    <col min="2" max="2" width="4.6640625" bestFit="1" customWidth="1"/>
    <col min="3" max="3" width="9.33203125" bestFit="1" customWidth="1"/>
    <col min="4" max="4" width="12.109375" bestFit="1" customWidth="1"/>
    <col min="5" max="5" width="4.44140625" bestFit="1" customWidth="1"/>
  </cols>
  <sheetData>
    <row r="1" spans="2:5" x14ac:dyDescent="0.3">
      <c r="B1" s="76" t="s">
        <v>115</v>
      </c>
      <c r="C1" s="76"/>
      <c r="D1" s="76"/>
      <c r="E1" s="76"/>
    </row>
    <row r="2" spans="2:5" x14ac:dyDescent="0.3">
      <c r="B2" s="58" t="s">
        <v>113</v>
      </c>
      <c r="C2" s="57" t="s">
        <v>109</v>
      </c>
      <c r="D2" s="59" t="s">
        <v>114</v>
      </c>
      <c r="E2" s="59" t="s">
        <v>110</v>
      </c>
    </row>
    <row r="3" spans="2:5" x14ac:dyDescent="0.3">
      <c r="B3" s="58">
        <v>1</v>
      </c>
      <c r="C3" s="57">
        <v>-4141</v>
      </c>
      <c r="D3" s="57">
        <v>-4146.6550976138824</v>
      </c>
      <c r="E3" s="57">
        <f>D3-C3</f>
        <v>-5.6550976138823899</v>
      </c>
    </row>
    <row r="4" spans="2:5" x14ac:dyDescent="0.3">
      <c r="B4" s="58">
        <v>2</v>
      </c>
      <c r="C4" s="57">
        <v>-7302</v>
      </c>
      <c r="D4" s="57">
        <v>-7306.6494191315815</v>
      </c>
      <c r="E4" s="57">
        <f t="shared" ref="E4:E39" si="0">D4-C4</f>
        <v>-4.6494191315814533</v>
      </c>
    </row>
    <row r="5" spans="2:5" x14ac:dyDescent="0.3">
      <c r="B5" s="58">
        <v>3</v>
      </c>
      <c r="C5" s="57">
        <v>-8998</v>
      </c>
      <c r="D5" s="57">
        <v>-9003.6469898930718</v>
      </c>
      <c r="E5" s="57">
        <f t="shared" si="0"/>
        <v>-5.6469898930718045</v>
      </c>
    </row>
    <row r="6" spans="2:5" x14ac:dyDescent="0.3">
      <c r="B6" s="58">
        <v>4</v>
      </c>
      <c r="C6" s="57">
        <v>-9298</v>
      </c>
      <c r="D6" s="57">
        <v>-9303.6469898930718</v>
      </c>
      <c r="E6" s="57">
        <f t="shared" si="0"/>
        <v>-5.6469898930718045</v>
      </c>
    </row>
    <row r="7" spans="2:5" x14ac:dyDescent="0.3">
      <c r="B7" s="58">
        <v>5</v>
      </c>
      <c r="C7" s="57">
        <v>-9298</v>
      </c>
      <c r="D7" s="57">
        <v>-9303.6469898930718</v>
      </c>
      <c r="E7" s="57">
        <f t="shared" si="0"/>
        <v>-5.6469898930718045</v>
      </c>
    </row>
    <row r="8" spans="2:5" x14ac:dyDescent="0.3">
      <c r="B8" s="77"/>
      <c r="C8" s="77"/>
      <c r="D8" s="77"/>
      <c r="E8" s="77"/>
    </row>
    <row r="9" spans="2:5" x14ac:dyDescent="0.3">
      <c r="B9" s="76" t="s">
        <v>116</v>
      </c>
      <c r="C9" s="76"/>
      <c r="D9" s="76"/>
      <c r="E9" s="76"/>
    </row>
    <row r="10" spans="2:5" x14ac:dyDescent="0.3">
      <c r="B10" s="58" t="s">
        <v>113</v>
      </c>
      <c r="C10" s="57" t="s">
        <v>109</v>
      </c>
      <c r="D10" s="59" t="s">
        <v>114</v>
      </c>
      <c r="E10" s="59" t="s">
        <v>110</v>
      </c>
    </row>
    <row r="11" spans="2:5" x14ac:dyDescent="0.3">
      <c r="B11" s="58">
        <v>1</v>
      </c>
      <c r="C11" s="57">
        <v>5614</v>
      </c>
      <c r="D11" s="57">
        <v>5610</v>
      </c>
      <c r="E11" s="57">
        <f t="shared" si="0"/>
        <v>-4</v>
      </c>
    </row>
    <row r="12" spans="2:5" x14ac:dyDescent="0.3">
      <c r="B12" s="58">
        <v>2</v>
      </c>
      <c r="C12" s="57">
        <v>4006</v>
      </c>
      <c r="D12" s="57">
        <v>4002.5</v>
      </c>
      <c r="E12" s="57">
        <f t="shared" si="0"/>
        <v>-3.5</v>
      </c>
    </row>
    <row r="13" spans="2:5" x14ac:dyDescent="0.3">
      <c r="B13" s="58">
        <v>3</v>
      </c>
      <c r="C13" s="57">
        <v>2399</v>
      </c>
      <c r="D13" s="57">
        <v>2395</v>
      </c>
      <c r="E13" s="57">
        <f t="shared" si="0"/>
        <v>-4</v>
      </c>
    </row>
    <row r="14" spans="2:5" x14ac:dyDescent="0.3">
      <c r="B14" s="58">
        <v>4</v>
      </c>
      <c r="C14" s="57">
        <v>791</v>
      </c>
      <c r="D14" s="57">
        <v>787.5</v>
      </c>
      <c r="E14" s="57">
        <f t="shared" si="0"/>
        <v>-3.5</v>
      </c>
    </row>
    <row r="15" spans="2:5" x14ac:dyDescent="0.3">
      <c r="B15" s="58">
        <v>5</v>
      </c>
      <c r="C15" s="57">
        <v>-816</v>
      </c>
      <c r="D15" s="57">
        <v>-820</v>
      </c>
      <c r="E15" s="57">
        <f t="shared" si="0"/>
        <v>-4</v>
      </c>
    </row>
    <row r="16" spans="2:5" x14ac:dyDescent="0.3">
      <c r="B16" s="77"/>
      <c r="C16" s="77"/>
      <c r="D16" s="77"/>
      <c r="E16" s="77"/>
    </row>
    <row r="17" spans="2:5" x14ac:dyDescent="0.3">
      <c r="B17" s="76" t="s">
        <v>117</v>
      </c>
      <c r="C17" s="76"/>
      <c r="D17" s="76"/>
      <c r="E17" s="76"/>
    </row>
    <row r="18" spans="2:5" x14ac:dyDescent="0.3">
      <c r="B18" s="58" t="s">
        <v>113</v>
      </c>
      <c r="C18" s="57" t="s">
        <v>109</v>
      </c>
      <c r="D18" s="59" t="s">
        <v>114</v>
      </c>
      <c r="E18" s="59" t="s">
        <v>110</v>
      </c>
    </row>
    <row r="19" spans="2:5" x14ac:dyDescent="0.3">
      <c r="B19" s="58">
        <v>1</v>
      </c>
      <c r="C19" s="57">
        <v>16355</v>
      </c>
      <c r="D19" s="57">
        <v>16355</v>
      </c>
      <c r="E19" s="57">
        <f t="shared" si="0"/>
        <v>0</v>
      </c>
    </row>
    <row r="20" spans="2:5" x14ac:dyDescent="0.3">
      <c r="B20" s="58">
        <v>2</v>
      </c>
      <c r="C20" s="57">
        <v>14349</v>
      </c>
      <c r="D20" s="57">
        <v>14342.5</v>
      </c>
      <c r="E20" s="57">
        <f t="shared" si="0"/>
        <v>-6.5</v>
      </c>
    </row>
    <row r="21" spans="2:5" x14ac:dyDescent="0.3">
      <c r="B21" s="58">
        <v>3</v>
      </c>
      <c r="C21" s="57">
        <v>12336</v>
      </c>
      <c r="D21" s="57">
        <v>12330</v>
      </c>
      <c r="E21" s="57">
        <f t="shared" si="0"/>
        <v>-6</v>
      </c>
    </row>
    <row r="22" spans="2:5" x14ac:dyDescent="0.3">
      <c r="B22" s="58">
        <v>4</v>
      </c>
      <c r="C22" s="57">
        <v>10324</v>
      </c>
      <c r="D22" s="57">
        <v>10317.5</v>
      </c>
      <c r="E22" s="57">
        <f t="shared" si="0"/>
        <v>-6.5</v>
      </c>
    </row>
    <row r="23" spans="2:5" x14ac:dyDescent="0.3">
      <c r="B23" s="58">
        <v>5</v>
      </c>
      <c r="C23" s="57">
        <v>8311</v>
      </c>
      <c r="D23" s="57">
        <v>8305</v>
      </c>
      <c r="E23" s="57">
        <f t="shared" si="0"/>
        <v>-6</v>
      </c>
    </row>
    <row r="24" spans="2:5" x14ac:dyDescent="0.3">
      <c r="B24" s="77"/>
      <c r="C24" s="77"/>
      <c r="D24" s="77"/>
      <c r="E24" s="77"/>
    </row>
    <row r="25" spans="2:5" x14ac:dyDescent="0.3">
      <c r="B25" s="76" t="s">
        <v>118</v>
      </c>
      <c r="C25" s="76"/>
      <c r="D25" s="76"/>
      <c r="E25" s="76"/>
    </row>
    <row r="26" spans="2:5" x14ac:dyDescent="0.3">
      <c r="B26" s="58" t="s">
        <v>113</v>
      </c>
      <c r="C26" s="57" t="s">
        <v>109</v>
      </c>
      <c r="D26" s="59" t="s">
        <v>114</v>
      </c>
      <c r="E26" s="59" t="s">
        <v>110</v>
      </c>
    </row>
    <row r="27" spans="2:5" x14ac:dyDescent="0.3">
      <c r="B27" s="58">
        <v>1</v>
      </c>
      <c r="C27" s="57">
        <v>29105</v>
      </c>
      <c r="D27" s="57">
        <v>29105</v>
      </c>
      <c r="E27" s="57">
        <f t="shared" si="0"/>
        <v>0</v>
      </c>
    </row>
    <row r="28" spans="2:5" x14ac:dyDescent="0.3">
      <c r="B28" s="58">
        <v>2</v>
      </c>
      <c r="C28" s="57">
        <v>28093</v>
      </c>
      <c r="D28" s="57">
        <v>28092.5</v>
      </c>
      <c r="E28" s="57">
        <f t="shared" si="0"/>
        <v>-0.5</v>
      </c>
    </row>
    <row r="29" spans="2:5" x14ac:dyDescent="0.3">
      <c r="B29" s="58">
        <v>3</v>
      </c>
      <c r="C29" s="57">
        <v>27080</v>
      </c>
      <c r="D29" s="57">
        <v>27080</v>
      </c>
      <c r="E29" s="57">
        <f t="shared" si="0"/>
        <v>0</v>
      </c>
    </row>
    <row r="30" spans="2:5" x14ac:dyDescent="0.3">
      <c r="B30" s="58">
        <v>4</v>
      </c>
      <c r="C30" s="57">
        <v>25318</v>
      </c>
      <c r="D30" s="57">
        <v>25317.5</v>
      </c>
      <c r="E30" s="57">
        <f t="shared" si="0"/>
        <v>-0.5</v>
      </c>
    </row>
    <row r="31" spans="2:5" x14ac:dyDescent="0.3">
      <c r="B31" s="58">
        <v>5</v>
      </c>
      <c r="C31" s="57">
        <v>23305</v>
      </c>
      <c r="D31" s="57">
        <v>23305</v>
      </c>
      <c r="E31" s="57">
        <f t="shared" si="0"/>
        <v>0</v>
      </c>
    </row>
    <row r="32" spans="2:5" x14ac:dyDescent="0.3">
      <c r="B32" s="77"/>
      <c r="C32" s="77"/>
      <c r="D32" s="77"/>
      <c r="E32" s="77"/>
    </row>
    <row r="33" spans="2:5" x14ac:dyDescent="0.3">
      <c r="B33" s="76" t="s">
        <v>119</v>
      </c>
      <c r="C33" s="76"/>
      <c r="D33" s="76"/>
      <c r="E33" s="76"/>
    </row>
    <row r="34" spans="2:5" x14ac:dyDescent="0.3">
      <c r="B34" s="58" t="s">
        <v>113</v>
      </c>
      <c r="C34" s="57" t="s">
        <v>109</v>
      </c>
      <c r="D34" s="59" t="s">
        <v>114</v>
      </c>
      <c r="E34" s="59" t="s">
        <v>110</v>
      </c>
    </row>
    <row r="35" spans="2:5" x14ac:dyDescent="0.3">
      <c r="B35" s="58">
        <v>1</v>
      </c>
      <c r="C35" s="57">
        <v>43056</v>
      </c>
      <c r="D35" s="57">
        <v>43055.5</v>
      </c>
      <c r="E35" s="57">
        <f t="shared" si="0"/>
        <v>-0.5</v>
      </c>
    </row>
    <row r="36" spans="2:5" x14ac:dyDescent="0.3">
      <c r="B36" s="58">
        <v>2</v>
      </c>
      <c r="C36" s="57">
        <v>41922</v>
      </c>
      <c r="D36" s="57">
        <v>41921.5</v>
      </c>
      <c r="E36" s="57">
        <f t="shared" si="0"/>
        <v>-0.5</v>
      </c>
    </row>
    <row r="37" spans="2:5" x14ac:dyDescent="0.3">
      <c r="B37" s="58">
        <v>3</v>
      </c>
      <c r="C37" s="57">
        <f>40731+225</f>
        <v>40956</v>
      </c>
      <c r="D37" s="57">
        <v>40956.5</v>
      </c>
      <c r="E37" s="57">
        <f t="shared" si="0"/>
        <v>0.5</v>
      </c>
    </row>
    <row r="38" spans="2:5" x14ac:dyDescent="0.3">
      <c r="B38" s="58">
        <v>4</v>
      </c>
      <c r="C38" s="57">
        <f>40731+225</f>
        <v>40956</v>
      </c>
      <c r="D38" s="57">
        <v>40956.5</v>
      </c>
      <c r="E38" s="57">
        <f t="shared" si="0"/>
        <v>0.5</v>
      </c>
    </row>
    <row r="39" spans="2:5" x14ac:dyDescent="0.3">
      <c r="B39" s="58">
        <v>5</v>
      </c>
      <c r="C39" s="57">
        <f>40731+225</f>
        <v>40956</v>
      </c>
      <c r="D39" s="57">
        <v>40956.5</v>
      </c>
      <c r="E39" s="57">
        <f t="shared" si="0"/>
        <v>0.5</v>
      </c>
    </row>
  </sheetData>
  <mergeCells count="9">
    <mergeCell ref="B1:E1"/>
    <mergeCell ref="B9:E9"/>
    <mergeCell ref="B17:E17"/>
    <mergeCell ref="B25:E25"/>
    <mergeCell ref="B33:E33"/>
    <mergeCell ref="B8:E8"/>
    <mergeCell ref="B16:E16"/>
    <mergeCell ref="B24:E24"/>
    <mergeCell ref="B32:E3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31</vt:i4>
      </vt:variant>
    </vt:vector>
  </HeadingPairs>
  <TitlesOfParts>
    <vt:vector size="33" baseType="lpstr">
      <vt:lpstr>Sheet1</vt:lpstr>
      <vt:lpstr>Sheet2</vt:lpstr>
      <vt:lpstr>amt_exemption</vt:lpstr>
      <vt:lpstr>amt_exemption_phase_out_rate</vt:lpstr>
      <vt:lpstr>amt_phase_out_begins</vt:lpstr>
      <vt:lpstr>amt_tax_rate_26</vt:lpstr>
      <vt:lpstr>amt_tax_rate_28</vt:lpstr>
      <vt:lpstr>charitable_donations</vt:lpstr>
      <vt:lpstr>child_tax_credit</vt:lpstr>
      <vt:lpstr>child_tax_credit_phase_out</vt:lpstr>
      <vt:lpstr>ctc_phase_out_begins</vt:lpstr>
      <vt:lpstr>ctc_phase_out_rate</vt:lpstr>
      <vt:lpstr>dividends</vt:lpstr>
      <vt:lpstr>EITC_dies_with_investment_income</vt:lpstr>
      <vt:lpstr>interest</vt:lpstr>
      <vt:lpstr>long_term_capital_gains</vt:lpstr>
      <vt:lpstr>medical_expenses</vt:lpstr>
      <vt:lpstr>mortgage_interest</vt:lpstr>
      <vt:lpstr>num_kids_16_younger</vt:lpstr>
      <vt:lpstr>num_kids_at_home</vt:lpstr>
      <vt:lpstr>num_people_in_family</vt:lpstr>
      <vt:lpstr>obamacare_surcharge_amount</vt:lpstr>
      <vt:lpstr>obamacare_surcharge_percent</vt:lpstr>
      <vt:lpstr>personal_exemption</vt:lpstr>
      <vt:lpstr>point_at_which_28_perc_amt_begins</vt:lpstr>
      <vt:lpstr>real_estate_property_taxes</vt:lpstr>
      <vt:lpstr>short_term_capital_gains</vt:lpstr>
      <vt:lpstr>standard_deduction</vt:lpstr>
      <vt:lpstr>state_income_tax_paid</vt:lpstr>
      <vt:lpstr>stcg_div_interest</vt:lpstr>
      <vt:lpstr>student_loan_interest</vt:lpstr>
      <vt:lpstr>student_loan_interest_cap</vt:lpstr>
      <vt:lpstr>trad_ira_contributions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Anonymous</cp:lastModifiedBy>
  <dcterms:created xsi:type="dcterms:W3CDTF">2014-03-30T04:57:17Z</dcterms:created>
  <dcterms:modified xsi:type="dcterms:W3CDTF">2017-04-05T18:08:24Z</dcterms:modified>
</cp:coreProperties>
</file>